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aleksandrov\Desktop\ПЭО\2021\Прайсы\"/>
    </mc:Choice>
  </mc:AlternateContent>
  <xr:revisionPtr revIDLastSave="0" documentId="13_ncr:1_{106D535E-FA5A-45D0-82CD-697693E283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п мед услуги (2)" sheetId="5" r:id="rId1"/>
    <sheet name="Лист1" sheetId="6" r:id="rId2"/>
    <sheet name="доп мед услуги" sheetId="1" state="hidden" r:id="rId3"/>
    <sheet name="доп мед услуги сотрудники" sheetId="4" state="hidden" r:id="rId4"/>
  </sheets>
  <definedNames>
    <definedName name="_xlnm._FilterDatabase" localSheetId="2" hidden="1">'доп мед услуги'!$A$12:$N$271</definedName>
    <definedName name="_xlnm._FilterDatabase" localSheetId="0" hidden="1">'доп мед услуги (2)'!$A$11:$F$146</definedName>
    <definedName name="_xlnm.Print_Area" localSheetId="2">'доп мед услуги'!$B$1:$F$283</definedName>
    <definedName name="_xlnm.Print_Area" localSheetId="0">'доп мед услуги (2)'!$A$1:$F$271</definedName>
    <definedName name="_xlnm.Print_Area" localSheetId="3">'доп мед услуги сотрудники'!$A$1:$G$222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4" i="5" l="1"/>
  <c r="E37" i="5" l="1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5" i="5"/>
  <c r="E36" i="5"/>
  <c r="E176" i="5" l="1"/>
  <c r="E172" i="5"/>
  <c r="O16" i="1"/>
  <c r="P16" i="1"/>
  <c r="K17" i="1"/>
  <c r="I27" i="1"/>
  <c r="J27" i="1"/>
  <c r="L27" i="1"/>
  <c r="O27" i="1"/>
  <c r="J63" i="1"/>
  <c r="K63" i="1"/>
  <c r="L63" i="1"/>
  <c r="M63" i="1"/>
  <c r="N63" i="1"/>
  <c r="O63" i="1"/>
  <c r="P63" i="1"/>
  <c r="L64" i="1"/>
  <c r="P70" i="1"/>
  <c r="N71" i="1"/>
  <c r="P71" i="1"/>
  <c r="P74" i="1"/>
  <c r="K76" i="1"/>
  <c r="M76" i="1"/>
  <c r="N76" i="1"/>
  <c r="P76" i="1"/>
  <c r="L84" i="1"/>
  <c r="L85" i="1"/>
  <c r="O87" i="1"/>
  <c r="L90" i="1"/>
  <c r="M90" i="1"/>
  <c r="N90" i="1"/>
  <c r="M93" i="1"/>
  <c r="J97" i="1"/>
  <c r="K97" i="1"/>
  <c r="L97" i="1"/>
  <c r="O97" i="1"/>
  <c r="P97" i="1"/>
  <c r="J99" i="1"/>
  <c r="K99" i="1"/>
  <c r="M99" i="1"/>
  <c r="N99" i="1"/>
  <c r="K102" i="1"/>
  <c r="O102" i="1"/>
  <c r="P105" i="1"/>
  <c r="M118" i="1"/>
  <c r="N118" i="1"/>
  <c r="O118" i="1"/>
  <c r="J119" i="1"/>
  <c r="K119" i="1"/>
  <c r="P119" i="1"/>
  <c r="K120" i="1"/>
  <c r="M120" i="1"/>
  <c r="H121" i="1"/>
  <c r="K121" i="1"/>
  <c r="N121" i="1"/>
  <c r="H122" i="1"/>
  <c r="J122" i="1"/>
  <c r="P122" i="1"/>
  <c r="O127" i="1"/>
  <c r="P127" i="1"/>
  <c r="H129" i="1"/>
  <c r="I129" i="1"/>
  <c r="K129" i="1"/>
  <c r="L129" i="1"/>
  <c r="M129" i="1"/>
  <c r="N129" i="1"/>
  <c r="I133" i="1"/>
  <c r="L133" i="1"/>
  <c r="H138" i="1"/>
  <c r="I138" i="1"/>
  <c r="J138" i="1"/>
  <c r="K138" i="1"/>
  <c r="L138" i="1"/>
  <c r="M138" i="1"/>
  <c r="N138" i="1"/>
  <c r="O138" i="1"/>
  <c r="P138" i="1"/>
  <c r="H139" i="1"/>
  <c r="I139" i="1"/>
  <c r="J139" i="1"/>
  <c r="K139" i="1"/>
  <c r="N139" i="1"/>
  <c r="O139" i="1"/>
  <c r="P139" i="1"/>
  <c r="H140" i="1"/>
  <c r="I140" i="1"/>
  <c r="J140" i="1"/>
  <c r="P140" i="1"/>
  <c r="K142" i="1"/>
  <c r="H148" i="1"/>
  <c r="L151" i="1"/>
  <c r="I152" i="1"/>
  <c r="J152" i="1"/>
  <c r="K152" i="1"/>
  <c r="M152" i="1"/>
  <c r="N152" i="1"/>
  <c r="O152" i="1"/>
  <c r="P152" i="1"/>
  <c r="J157" i="1"/>
  <c r="M157" i="1"/>
  <c r="L158" i="1"/>
  <c r="O162" i="1"/>
  <c r="P162" i="1"/>
  <c r="O163" i="1"/>
  <c r="M164" i="1"/>
  <c r="P164" i="1"/>
  <c r="J174" i="1"/>
  <c r="H175" i="1"/>
  <c r="I175" i="1"/>
  <c r="J179" i="1"/>
  <c r="M179" i="1"/>
  <c r="N179" i="1"/>
  <c r="I180" i="1"/>
  <c r="J183" i="1"/>
  <c r="M186" i="1"/>
  <c r="P186" i="1"/>
  <c r="J188" i="1"/>
  <c r="K188" i="1"/>
  <c r="M188" i="1"/>
  <c r="O188" i="1"/>
  <c r="P188" i="1"/>
  <c r="K190" i="1"/>
  <c r="J191" i="1"/>
  <c r="M191" i="1"/>
  <c r="O191" i="1"/>
  <c r="P191" i="1"/>
  <c r="M192" i="1"/>
  <c r="M193" i="1"/>
  <c r="M194" i="1"/>
  <c r="P217" i="1"/>
  <c r="L219" i="1"/>
  <c r="M219" i="1"/>
  <c r="H220" i="1"/>
  <c r="I220" i="1"/>
  <c r="P220" i="1"/>
  <c r="M226" i="1"/>
  <c r="O226" i="1"/>
  <c r="P226" i="1"/>
  <c r="H227" i="1"/>
  <c r="I227" i="1"/>
  <c r="J227" i="1"/>
  <c r="L227" i="1"/>
  <c r="M227" i="1"/>
  <c r="O227" i="1"/>
  <c r="P227" i="1"/>
  <c r="J228" i="1"/>
  <c r="M228" i="1"/>
  <c r="P228" i="1"/>
  <c r="H237" i="1"/>
  <c r="I237" i="1"/>
  <c r="J237" i="1"/>
  <c r="K237" i="1"/>
  <c r="L237" i="1"/>
  <c r="M237" i="1"/>
  <c r="N237" i="1"/>
  <c r="O237" i="1"/>
  <c r="P237" i="1"/>
  <c r="K239" i="1"/>
  <c r="H243" i="1"/>
  <c r="I243" i="1"/>
  <c r="J243" i="1"/>
  <c r="K243" i="1"/>
  <c r="L243" i="1"/>
  <c r="M243" i="1"/>
  <c r="N243" i="1"/>
  <c r="O243" i="1"/>
  <c r="P243" i="1"/>
  <c r="I244" i="1"/>
  <c r="M245" i="1"/>
  <c r="O245" i="1"/>
  <c r="M249" i="1"/>
  <c r="N249" i="1"/>
  <c r="O249" i="1"/>
  <c r="P249" i="1"/>
  <c r="P250" i="1"/>
  <c r="I269" i="1"/>
  <c r="L269" i="1"/>
  <c r="M269" i="1"/>
  <c r="P269" i="1"/>
  <c r="I270" i="1"/>
  <c r="F108" i="4" l="1"/>
  <c r="F209" i="4"/>
  <c r="F208" i="4"/>
  <c r="F207" i="4"/>
  <c r="F206" i="4"/>
  <c r="F205" i="4"/>
  <c r="F203" i="4"/>
  <c r="F202" i="4"/>
  <c r="F200" i="4"/>
  <c r="F199" i="4"/>
  <c r="F197" i="4"/>
  <c r="F194" i="4"/>
  <c r="F193" i="4"/>
  <c r="F192" i="4"/>
  <c r="F191" i="4"/>
  <c r="F190" i="4"/>
  <c r="F188" i="4"/>
  <c r="F187" i="4"/>
  <c r="F186" i="4"/>
  <c r="F184" i="4"/>
  <c r="F183" i="4"/>
  <c r="F182" i="4"/>
  <c r="F180" i="4"/>
  <c r="F179" i="4"/>
  <c r="F178" i="4"/>
  <c r="F177" i="4"/>
  <c r="F176" i="4"/>
  <c r="F175" i="4"/>
  <c r="F174" i="4"/>
  <c r="F173" i="4"/>
  <c r="F172" i="4"/>
  <c r="F170" i="4"/>
  <c r="F169" i="4"/>
  <c r="F168" i="4"/>
  <c r="F167" i="4"/>
  <c r="F166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4" i="4"/>
  <c r="F143" i="4"/>
  <c r="F142" i="4"/>
  <c r="F141" i="4"/>
  <c r="F140" i="4"/>
  <c r="F139" i="4"/>
  <c r="F137" i="4"/>
  <c r="F136" i="4"/>
  <c r="F135" i="4"/>
  <c r="F134" i="4"/>
  <c r="F133" i="4"/>
  <c r="F132" i="4"/>
  <c r="F128" i="4"/>
  <c r="F127" i="4"/>
  <c r="F124" i="4"/>
  <c r="F123" i="4"/>
  <c r="F120" i="4"/>
  <c r="F119" i="4"/>
  <c r="F118" i="4"/>
  <c r="F117" i="4"/>
  <c r="F116" i="4"/>
  <c r="F115" i="4"/>
  <c r="F114" i="4"/>
  <c r="F113" i="4"/>
  <c r="F112" i="4"/>
  <c r="F111" i="4"/>
  <c r="F109" i="4"/>
  <c r="F107" i="4"/>
  <c r="F106" i="4"/>
  <c r="F105" i="4"/>
  <c r="F104" i="4"/>
  <c r="F103" i="4"/>
  <c r="F102" i="4"/>
  <c r="F101" i="4"/>
  <c r="F100" i="4"/>
  <c r="F98" i="4"/>
  <c r="F97" i="4"/>
  <c r="F96" i="4"/>
  <c r="F95" i="4"/>
  <c r="F92" i="4"/>
  <c r="F91" i="4"/>
  <c r="F90" i="4"/>
  <c r="F89" i="4"/>
  <c r="F87" i="4"/>
  <c r="F86" i="4"/>
  <c r="F85" i="4"/>
  <c r="F84" i="4"/>
  <c r="F83" i="4"/>
  <c r="F82" i="4"/>
  <c r="F81" i="4"/>
  <c r="F80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49" i="4"/>
  <c r="F48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32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16" i="4"/>
  <c r="E129" i="4"/>
  <c r="F129" i="4" s="1"/>
  <c r="E125" i="4"/>
  <c r="F125" i="4" s="1"/>
  <c r="A66" i="4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54" i="4"/>
  <c r="A49" i="4"/>
  <c r="A87" i="1" l="1"/>
  <c r="A88" i="1" s="1"/>
  <c r="A89" i="1" s="1"/>
  <c r="A90" i="1" s="1"/>
  <c r="A91" i="1" s="1"/>
  <c r="A92" i="1" s="1"/>
  <c r="A93" i="1" s="1"/>
  <c r="A97" i="1" s="1"/>
  <c r="A98" i="1" s="1"/>
  <c r="A99" i="1" s="1"/>
  <c r="A102" i="1" s="1"/>
  <c r="A104" i="1" s="1"/>
  <c r="A105" i="1" s="1"/>
  <c r="A71" i="1"/>
  <c r="A64" i="1"/>
  <c r="E288" i="1" l="1"/>
  <c r="E284" i="1"/>
</calcChain>
</file>

<file path=xl/sharedStrings.xml><?xml version="1.0" encoding="utf-8"?>
<sst xmlns="http://schemas.openxmlformats.org/spreadsheetml/2006/main" count="2755" uniqueCount="765">
  <si>
    <t>"Утверждаю"</t>
  </si>
  <si>
    <t>ПРЕЙСКУРАНТ</t>
  </si>
  <si>
    <t>стоимости медицинских услуг</t>
  </si>
  <si>
    <t>оказываемых санаторием "Зеленая роща"</t>
  </si>
  <si>
    <t>№ п/п</t>
  </si>
  <si>
    <t>Наименование</t>
  </si>
  <si>
    <t>Единица измерения</t>
  </si>
  <si>
    <t>Стоимость услуги, руб.</t>
  </si>
  <si>
    <t>1. Первичный прием врачей</t>
  </si>
  <si>
    <t>1 прием</t>
  </si>
  <si>
    <t>2. Повторный прием врачей</t>
  </si>
  <si>
    <t>3. Физиотерапевтические процедуры</t>
  </si>
  <si>
    <t>1 процедура</t>
  </si>
  <si>
    <t>- до 3-х мин.</t>
  </si>
  <si>
    <t>- до 5-ти мин.</t>
  </si>
  <si>
    <t>1 зона</t>
  </si>
  <si>
    <t>2 зоны</t>
  </si>
  <si>
    <t>1</t>
  </si>
  <si>
    <t>2</t>
  </si>
  <si>
    <t>3</t>
  </si>
  <si>
    <t>4</t>
  </si>
  <si>
    <t>5</t>
  </si>
  <si>
    <t>10 единиц</t>
  </si>
  <si>
    <t>1,5 единица</t>
  </si>
  <si>
    <t>1,5 единиц</t>
  </si>
  <si>
    <t>3 единиц</t>
  </si>
  <si>
    <t>Массажное кресло</t>
  </si>
  <si>
    <t>Паравертебральный вибромеханический массаж с одновременным дозированным вытяжением позвоночника на аппарате "Ормед-профилактик"</t>
  </si>
  <si>
    <t>Паравертебральный вибромеханический массаж с одновременным дозированным вытяжением позвоночника на аппарате "Ормед-профилактик"
(при единовременной оплате курса из 10 процедур)</t>
  </si>
  <si>
    <t>10 процедур</t>
  </si>
  <si>
    <t>Вибромеханический массаж на аппарате "Ормед-профилактик"</t>
  </si>
  <si>
    <t>Вибромеханический массаж на аппарате "Ормед-профилактик" 
(при единовременной оплате курса из 10 процедур)</t>
  </si>
  <si>
    <t>1 исследование</t>
  </si>
  <si>
    <t>45 минут</t>
  </si>
  <si>
    <t>Лечебное плавание (разовое посещение)</t>
  </si>
  <si>
    <t>Индивидуальное обучение плаванию</t>
  </si>
  <si>
    <t>1 услуга</t>
  </si>
  <si>
    <t>среда, пятница –21.00 ч.</t>
  </si>
  <si>
    <t>Лечебная физкультура в общем зале по индивидуальному режиму  на 1 человека</t>
  </si>
  <si>
    <t>1 час</t>
  </si>
  <si>
    <t>Механотерапия по абонементу (не менее 10 занятий в месяц)</t>
  </si>
  <si>
    <t>ЭКГ с описанием</t>
  </si>
  <si>
    <t>ЭКГ без описания</t>
  </si>
  <si>
    <t>Велоэргометрия</t>
  </si>
  <si>
    <t>Комбинированное суточное мониторирование артериального давления и электрокардиограммы</t>
  </si>
  <si>
    <t>УЗИ почек и надпочечников</t>
  </si>
  <si>
    <t>УЗИ мочевого пузыря и почек</t>
  </si>
  <si>
    <t>УЗИ брюшной полости и почек</t>
  </si>
  <si>
    <t>УЗИ органов мошонки</t>
  </si>
  <si>
    <t>Внутримышечные и подкожные инъекции с применением одноразовых шприцов (без стоимости медикаментов)*</t>
  </si>
  <si>
    <t>Внутривенные вливания с применением одноразовых шприцов (без стоимости медикаментов)*</t>
  </si>
  <si>
    <t>Взятие крови из вены с применением одноразовых шприцов</t>
  </si>
  <si>
    <t>Постановка капельницы с применением одноразовой системы</t>
  </si>
  <si>
    <t>Постановка капельницы с комбинированным внутривенным введением лекарственных препаратов с применением одноразовой системы</t>
  </si>
  <si>
    <t>Сеансы психологической релаксации</t>
  </si>
  <si>
    <t>1 сеанс</t>
  </si>
  <si>
    <t>200 мл.</t>
  </si>
  <si>
    <t xml:space="preserve">Кислородный коктейль </t>
  </si>
  <si>
    <t>SPOOM  коктейль</t>
  </si>
  <si>
    <t>100 мл.</t>
  </si>
  <si>
    <t>При лечении заболеваний опорно-двигательного аппарата</t>
  </si>
  <si>
    <t>При лечении заболеваний ЛОР-органов и иммунодефицитных состояниях</t>
  </si>
  <si>
    <t>При лечении заболеваний желудочно-кишечного тракта</t>
  </si>
  <si>
    <t>Внутривенное введение озонированного физиологического раствора</t>
  </si>
  <si>
    <t>Внутримышечное введение кислородно-озонированной смеси</t>
  </si>
  <si>
    <t>Введение кислородно-озонированной смеси низкопоточным мультиинжекторным способом "Гребенка"</t>
  </si>
  <si>
    <t>Постановка одной пиявки с расходными материалами</t>
  </si>
  <si>
    <t>Постановка одной пиявки на слизистые оболочки с расходными материалами</t>
  </si>
  <si>
    <t>Лечение никотиновой зависимости (табакокурения)</t>
  </si>
  <si>
    <t>Лечение ожирения (коррекция веса)</t>
  </si>
  <si>
    <t>Примечание: Медицинские услуги согласно главе 21 ст. 149 НК РФ налогом на добавленную стоимость (НДС) не облагаются.</t>
  </si>
  <si>
    <t>2 единицы</t>
  </si>
  <si>
    <t>Массажная система ЭПС "СТОПА" шестимодульная</t>
  </si>
  <si>
    <t xml:space="preserve"> 4. Дополнительные массажные процедуры, отпускаемые по договору </t>
  </si>
  <si>
    <t>5. Массаж на аппарате "ОРМЕД-профилактик"</t>
  </si>
  <si>
    <t xml:space="preserve">лечебное плавание в рабочие дни с 7.00 ч. до 13.00 ч.                 </t>
  </si>
  <si>
    <t>лечебное плавание с термотерапией в рабочие дни с 18.00 ч. до 22.00 ч.</t>
  </si>
  <si>
    <t>6. Водные  лечебные  процедуры</t>
  </si>
  <si>
    <t>8. Лечебная физкультура</t>
  </si>
  <si>
    <t>9. Функциональная диагностика</t>
  </si>
  <si>
    <t>10. Ультразвуковые исследования</t>
  </si>
  <si>
    <t>11. Услуги процедурного кабинета</t>
  </si>
  <si>
    <t>12. Прочие  медицинские  услуги</t>
  </si>
  <si>
    <t>Физкультурно-оздоровительные  игры в зале (волейбол, футбол, баскетбол) с 9.00-18.00</t>
  </si>
  <si>
    <t>Физкультурно-оздоровительные  игры в зале (волейбол, футбол, баскетбол) с 18.00-23.00</t>
  </si>
  <si>
    <t xml:space="preserve">лечебное плавание с термотерапией в рабочие дни с 14.00 ч. до 18.00 ч.                 </t>
  </si>
  <si>
    <t xml:space="preserve">Директор </t>
  </si>
  <si>
    <t xml:space="preserve">ООО "Санаторий "Зеленая роща" </t>
  </si>
  <si>
    <t>1 комплекс
услуг</t>
  </si>
  <si>
    <t>Трузи</t>
  </si>
  <si>
    <t>1 дорожка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</si>
  <si>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</si>
  <si>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</si>
  <si>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</si>
  <si>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</si>
  <si>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</si>
  <si>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</si>
  <si>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</si>
  <si>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</si>
  <si>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</si>
  <si>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</si>
  <si>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</si>
  <si>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13. Кабинет фотогемотерапии</t>
  </si>
  <si>
    <t xml:space="preserve"> вторник, четверг – 19.00 ч. </t>
  </si>
  <si>
    <t>ежедневно– 13.00ч., кроме воскресенья</t>
  </si>
  <si>
    <t xml:space="preserve">УЗДГ артерий верхних конечностей </t>
  </si>
  <si>
    <t>УЗИ  общее ( муж)    пп.1+5+8+11</t>
  </si>
  <si>
    <t>УЗИ общее  ( жен)   пп. 1+2+4+9</t>
  </si>
  <si>
    <t xml:space="preserve">УЗДГ артерий нижних конечностей </t>
  </si>
  <si>
    <t>УЗДГ вен верхних конечностей</t>
  </si>
  <si>
    <t>УЗДГ вен нижних конечностей</t>
  </si>
  <si>
    <t xml:space="preserve">Сероводородные ванны (VIP) </t>
  </si>
  <si>
    <t>Лечебная гимнастика в группе</t>
  </si>
  <si>
    <t>35 минут</t>
  </si>
  <si>
    <t>17. Урологические процедуры  на аппарате "Андрогин"</t>
  </si>
  <si>
    <t>Ректальная магнито-лазерная терапия предстательной железы</t>
  </si>
  <si>
    <t>Ректальная магнито-лазерная терапия предстательной железы с электростимуляцией</t>
  </si>
  <si>
    <t>Код медицинской
услуги</t>
  </si>
  <si>
    <t>Прием (осмотр, консультация) врача-невролога первичный</t>
  </si>
  <si>
    <t>В01.023.001</t>
  </si>
  <si>
    <t>Прием (осмотр, консультация) врача-эндокринолога первичный</t>
  </si>
  <si>
    <t>В01.058.001</t>
  </si>
  <si>
    <t>Прием (осмотр, консультация) врача-кардиолога первичный</t>
  </si>
  <si>
    <t>В01.015.001</t>
  </si>
  <si>
    <t>Прием (осмотр, консультация) врача-гастроэнтеролога первичный</t>
  </si>
  <si>
    <t>Прием (осмотр, консультация) врача-терапевта первичный</t>
  </si>
  <si>
    <t>В01.004.001</t>
  </si>
  <si>
    <t>В01.047.001</t>
  </si>
  <si>
    <t>Прием (осмотр, консультация) врача-невролога повторный</t>
  </si>
  <si>
    <t>В01.023.002</t>
  </si>
  <si>
    <t>В01.058.002</t>
  </si>
  <si>
    <t>Прием (осмотр, консультация) врача-эндокринолога повторный</t>
  </si>
  <si>
    <t>Прием (осмотр, консультация) врача-гастроэнтеролога повторный</t>
  </si>
  <si>
    <t>В01.004.002</t>
  </si>
  <si>
    <t>Прием (осмотр, консультация) врача-терапевта повторный</t>
  </si>
  <si>
    <t>В01.047.002</t>
  </si>
  <si>
    <t xml:space="preserve">Прием (осмотр, консультация) врача-рефлексотерапевта первичный </t>
  </si>
  <si>
    <t xml:space="preserve">B01.041.001 </t>
  </si>
  <si>
    <t xml:space="preserve">Прием (осмотр, консультация) врача-рефлексотерапевта повторный </t>
  </si>
  <si>
    <t xml:space="preserve">B01.041.002 </t>
  </si>
  <si>
    <t xml:space="preserve">Прием (осмотр, консультация) врача-дерматовенеролога первичный </t>
  </si>
  <si>
    <t xml:space="preserve">B01.008.001 </t>
  </si>
  <si>
    <t xml:space="preserve">Прием (осмотр, консультация) врача-дерматовенеролога повторный </t>
  </si>
  <si>
    <t xml:space="preserve">B01.008.002 </t>
  </si>
  <si>
    <t xml:space="preserve">Прием (осмотр, консультация) врача-педиатра первичный </t>
  </si>
  <si>
    <t xml:space="preserve">B01.031.001 </t>
  </si>
  <si>
    <t xml:space="preserve">Прием (осмотр, консультация) врача-педиатра повторный </t>
  </si>
  <si>
    <t xml:space="preserve">B01.031.002 </t>
  </si>
  <si>
    <t xml:space="preserve">Прием (осмотр, консультация) врача-акушера-гинеколога первичный </t>
  </si>
  <si>
    <t xml:space="preserve">B01.001.001 </t>
  </si>
  <si>
    <t xml:space="preserve">Прием (осмотр, консультация) врача-акушера-гинеколога повторный </t>
  </si>
  <si>
    <t xml:space="preserve">B01.001.002 </t>
  </si>
  <si>
    <t xml:space="preserve">Прием (осмотр, консультация) врача-уролога первичный </t>
  </si>
  <si>
    <t xml:space="preserve">B01.053.001 </t>
  </si>
  <si>
    <t xml:space="preserve">Прием (осмотр, консультация) врача-уролога повторный </t>
  </si>
  <si>
    <t xml:space="preserve">B01.053.002 </t>
  </si>
  <si>
    <t xml:space="preserve">Прием (осмотр, консультация) врача-диетолога первичный </t>
  </si>
  <si>
    <t xml:space="preserve">B01.013.001 </t>
  </si>
  <si>
    <t xml:space="preserve">Прием (осмотр, консультация) врача-диетолога повторный </t>
  </si>
  <si>
    <t xml:space="preserve">B01.013.002 </t>
  </si>
  <si>
    <t>Прием (осмотр, консультация) врача-кардиолога повторный</t>
  </si>
  <si>
    <t>В01.015.002</t>
  </si>
  <si>
    <t xml:space="preserve">Прием (осмотр, консультация) врача функциональной диагностики первичный </t>
  </si>
  <si>
    <t xml:space="preserve">B01.056.002 </t>
  </si>
  <si>
    <t xml:space="preserve">Осмотр (консультация) врача-физиотерапевта </t>
  </si>
  <si>
    <t xml:space="preserve">B01.054.001 </t>
  </si>
  <si>
    <t xml:space="preserve">Прием (осмотр, консультация) врача по лечебной физкультуре </t>
  </si>
  <si>
    <t xml:space="preserve">B01.020.001 </t>
  </si>
  <si>
    <t xml:space="preserve">Прием (осмотр, консультация) врача по лечебной физкультуре повторный </t>
  </si>
  <si>
    <t xml:space="preserve">B01.020.005 </t>
  </si>
  <si>
    <t xml:space="preserve">Прием (осмотр, консультация) врача-кардиолога повторный </t>
  </si>
  <si>
    <t>A20.30.031</t>
  </si>
  <si>
    <t xml:space="preserve">A17.30.025 </t>
  </si>
  <si>
    <t xml:space="preserve">A20.30.002 </t>
  </si>
  <si>
    <t xml:space="preserve">A20.30.006 </t>
  </si>
  <si>
    <t xml:space="preserve">A20.30.030 </t>
  </si>
  <si>
    <t>Ванны лекарственные лечебные Пантовые ванны "Женская" ( VIP)</t>
  </si>
  <si>
    <t xml:space="preserve">A20.30.005 </t>
  </si>
  <si>
    <r>
      <t xml:space="preserve">Ванны лекарственные лечебные  (хвойные,йодобромные, жемчужные, скипидарные, морские)                                                                          </t>
    </r>
    <r>
      <rPr>
        <i/>
        <u/>
        <sz val="8"/>
        <rFont val="Times New Roman"/>
        <family val="1"/>
        <charset val="204"/>
      </rPr>
      <t/>
    </r>
  </si>
  <si>
    <t xml:space="preserve">Ванны воздушно-пузырьковые (жемчужные)           </t>
  </si>
  <si>
    <r>
      <t xml:space="preserve">Ванны ароматические лечебные  (можжевеловые, серная, общие каштановые, пиниментол, лавандовые)                                      </t>
    </r>
    <r>
      <rPr>
        <i/>
        <u/>
        <sz val="8"/>
        <rFont val="Times New Roman"/>
        <family val="1"/>
        <charset val="204"/>
      </rPr>
      <t/>
    </r>
  </si>
  <si>
    <t xml:space="preserve">Сероводородные ванны                                                         </t>
  </si>
  <si>
    <t xml:space="preserve">Подводное вертикальное вытяжение                                         </t>
  </si>
  <si>
    <t xml:space="preserve">Ванны лекарственные лечебные пантовые ванны "Санаторная"  </t>
  </si>
  <si>
    <t>Ванны лекарственные лечебные пантовые ванны "Санаторная" (VIP)</t>
  </si>
  <si>
    <t xml:space="preserve">Ванны лекарственные лечебные пантовые ванны "Женская"                                                     </t>
  </si>
  <si>
    <t xml:space="preserve">A20.30.036 </t>
  </si>
  <si>
    <t xml:space="preserve">Подводный душ-массаж лечебный </t>
  </si>
  <si>
    <t xml:space="preserve">A20.30.010 </t>
  </si>
  <si>
    <t xml:space="preserve">Душ лечебный (циркулярный душ)                                                                 </t>
  </si>
  <si>
    <t xml:space="preserve">A20.30.011 </t>
  </si>
  <si>
    <t xml:space="preserve">Местная  магнитотерапия </t>
  </si>
  <si>
    <t xml:space="preserve">A22.01.001 </t>
  </si>
  <si>
    <t xml:space="preserve">A17.30.017 </t>
  </si>
  <si>
    <t xml:space="preserve">A17.30.018 </t>
  </si>
  <si>
    <t xml:space="preserve">A20.30.018 </t>
  </si>
  <si>
    <t xml:space="preserve">A17.30.024.002 </t>
  </si>
  <si>
    <t xml:space="preserve">A17.30.031 </t>
  </si>
  <si>
    <t xml:space="preserve">Ультразвуковое лечение на аппарате "Ионосон-Эксперт" </t>
  </si>
  <si>
    <t xml:space="preserve">A17.01.007 </t>
  </si>
  <si>
    <r>
      <t xml:space="preserve">Дарсонвализация кожи                                                                    </t>
    </r>
    <r>
      <rPr>
        <i/>
        <sz val="12"/>
        <rFont val="Times New Roman"/>
        <family val="1"/>
        <charset val="204"/>
      </rPr>
      <t xml:space="preserve"> </t>
    </r>
  </si>
  <si>
    <t xml:space="preserve">A17.29.002 </t>
  </si>
  <si>
    <t xml:space="preserve">Электросон                                                                           </t>
  </si>
  <si>
    <r>
      <t xml:space="preserve">Ультразвуковая терапия                                                                          </t>
    </r>
    <r>
      <rPr>
        <i/>
        <sz val="8"/>
        <rFont val="Times New Roman"/>
        <family val="1"/>
        <charset val="204"/>
      </rPr>
      <t xml:space="preserve">  </t>
    </r>
  </si>
  <si>
    <t xml:space="preserve">Общая магнитотерапия «Алма»                                                 </t>
  </si>
  <si>
    <t xml:space="preserve">A17.30.026 </t>
  </si>
  <si>
    <t xml:space="preserve">Инфитатерапия </t>
  </si>
  <si>
    <t xml:space="preserve">A20.30.019 </t>
  </si>
  <si>
    <t xml:space="preserve">A20.30.025 </t>
  </si>
  <si>
    <t xml:space="preserve">A20.03.001 </t>
  </si>
  <si>
    <t xml:space="preserve">Парафино-озокеритовая аппликация                                     </t>
  </si>
  <si>
    <t xml:space="preserve">Ударно-волновая терапия  (MS WESTFALIA GMBH (GERMANY) EWA Tage SC)                                                 </t>
  </si>
  <si>
    <t xml:space="preserve">A22.30.015 </t>
  </si>
  <si>
    <t xml:space="preserve">A21.03.010 </t>
  </si>
  <si>
    <t xml:space="preserve">A21.03.008 </t>
  </si>
  <si>
    <t xml:space="preserve">Дозированное вытяжение позвоночника 
(шейный, грудной, поясничный отделы)и вибрационно-тепловой роликовый массаж на профессиональной механической установке «Ормед-профессионал»                    </t>
  </si>
  <si>
    <t xml:space="preserve">Дозированное подводное вытяжение позвоночника 
(шейный, грудной, поясничный отделы) и гидромассаж на многофункциональном комплексе «Акватракцион»  (со встроенным механизмом подъема пациента)                         </t>
  </si>
  <si>
    <t xml:space="preserve">A21.03.002.006 </t>
  </si>
  <si>
    <t xml:space="preserve">A19.30.008 </t>
  </si>
  <si>
    <t xml:space="preserve">A19.30.009.002 </t>
  </si>
  <si>
    <t>Групповое занятие лечебной физкультурой в бассейне  (до 60 человек)</t>
  </si>
  <si>
    <t>Групповое занятие лечебной физкультурой в бассейне  (до 10 человек)</t>
  </si>
  <si>
    <t>Групповое занятие лечебной физкультурой в бассейне (лечебная аквааэробика разовое посещение)</t>
  </si>
  <si>
    <t xml:space="preserve">A19.30.007 </t>
  </si>
  <si>
    <t xml:space="preserve">A19.30.006 </t>
  </si>
  <si>
    <t xml:space="preserve">A04.10.002 </t>
  </si>
  <si>
    <t>Эхокардиография</t>
  </si>
  <si>
    <t xml:space="preserve">A12.10.005 </t>
  </si>
  <si>
    <t xml:space="preserve">A05.10.008 </t>
  </si>
  <si>
    <t xml:space="preserve">Холтеровское мониторирование сердечного ритма </t>
  </si>
  <si>
    <t xml:space="preserve">A02.12.002.001 </t>
  </si>
  <si>
    <t xml:space="preserve">A04.22.001 </t>
  </si>
  <si>
    <t xml:space="preserve">A04.20.002 </t>
  </si>
  <si>
    <t xml:space="preserve">A04.14.001 </t>
  </si>
  <si>
    <t xml:space="preserve">A04.28.001 </t>
  </si>
  <si>
    <t xml:space="preserve">A04.28.002.003 </t>
  </si>
  <si>
    <t xml:space="preserve">A04.30.010 </t>
  </si>
  <si>
    <t xml:space="preserve">A04.28.003 </t>
  </si>
  <si>
    <t xml:space="preserve">A04.01.001 </t>
  </si>
  <si>
    <t xml:space="preserve">A04.16.001 </t>
  </si>
  <si>
    <t xml:space="preserve">A04.20.001.001 </t>
  </si>
  <si>
    <t xml:space="preserve">Ультразвуковое исследование матки и придатков трансвагиальное </t>
  </si>
  <si>
    <t xml:space="preserve">Ультразвуковое исследование печени </t>
  </si>
  <si>
    <t xml:space="preserve">Ультразвуковое исследование молочных желез </t>
  </si>
  <si>
    <t xml:space="preserve">Ультразвуковое исследование мягких тканей (одна анатомическая зона) </t>
  </si>
  <si>
    <t xml:space="preserve">Ультразвуковое исследование щитовидной железы и паращитовидных желез </t>
  </si>
  <si>
    <t>Ультразвуковое исследование органов малого таза (комплексное)  (трансабдоминально)</t>
  </si>
  <si>
    <t xml:space="preserve">A11.02.002 </t>
  </si>
  <si>
    <t xml:space="preserve">A11.12.003 </t>
  </si>
  <si>
    <t xml:space="preserve">A11.12.009 </t>
  </si>
  <si>
    <t xml:space="preserve">A13.29.008.002 </t>
  </si>
  <si>
    <t xml:space="preserve">A18.05.005 </t>
  </si>
  <si>
    <t xml:space="preserve">Ультрафиолетовое облучение крови </t>
  </si>
  <si>
    <t xml:space="preserve">A22.01.005 </t>
  </si>
  <si>
    <t xml:space="preserve">A20.30.024.006 </t>
  </si>
  <si>
    <t xml:space="preserve">A20.30.024.004 </t>
  </si>
  <si>
    <t xml:space="preserve">A20.30.024.007 </t>
  </si>
  <si>
    <t xml:space="preserve">Малая аутогемоозонотерапия </t>
  </si>
  <si>
    <t xml:space="preserve">Подкожное введение газовой озонокислородной смеси </t>
  </si>
  <si>
    <t xml:space="preserve">A14.05.001 </t>
  </si>
  <si>
    <t xml:space="preserve">A21.20.001 </t>
  </si>
  <si>
    <t xml:space="preserve">Массаж при заболеваниях женских половых органов </t>
  </si>
  <si>
    <t xml:space="preserve">A21.01.001 </t>
  </si>
  <si>
    <t>Массаж воротниковой области  (задней поверхности шеи, спины до уровня 4-го грудного позвонка, передней поверхности грудной клетки до 2-го ребра)</t>
  </si>
  <si>
    <t xml:space="preserve">A21.01.003.001 </t>
  </si>
  <si>
    <t xml:space="preserve">Массаж пояснично-крестцовой области (от 1-го поясничного позвонка до нижних ягодичных складок) </t>
  </si>
  <si>
    <t xml:space="preserve">A21.03.002.001 </t>
  </si>
  <si>
    <t xml:space="preserve">A21.01.004 , A21.01.009 </t>
  </si>
  <si>
    <t>Массаж верхних или нижних конечностей медицинский</t>
  </si>
  <si>
    <t xml:space="preserve">A21.03.007 </t>
  </si>
  <si>
    <t>Массаж спины медицинский (области задней поверхности шеи, спины и пояснично-крестцовой области)</t>
  </si>
  <si>
    <t xml:space="preserve">Массаж шейно-грудного отдела позвоночника </t>
  </si>
  <si>
    <t xml:space="preserve">A21.03.002.005 </t>
  </si>
  <si>
    <t>Примечание</t>
  </si>
  <si>
    <t xml:space="preserve">Сухие углекислые ванны "Реабокс" </t>
  </si>
  <si>
    <t xml:space="preserve">Ванны газовые </t>
  </si>
  <si>
    <t>А17.30.31</t>
  </si>
  <si>
    <t>А22.30.005</t>
  </si>
  <si>
    <t xml:space="preserve">Воздействие магнитными полями                  </t>
  </si>
  <si>
    <t xml:space="preserve">Электросветовые ванны «Биоптрон»   </t>
  </si>
  <si>
    <t>Воздействие поляризованным светом :</t>
  </si>
  <si>
    <t xml:space="preserve">Магнитотерапия на аппарате "Полимаг-01"                        </t>
  </si>
  <si>
    <t xml:space="preserve">Ультрафонофорез лекарственный </t>
  </si>
  <si>
    <t xml:space="preserve">Воздействие электромагнитным излучением дециметрового диапазона                                               </t>
  </si>
  <si>
    <t xml:space="preserve">ДМВ-Дециметровая терапия                                                    </t>
  </si>
  <si>
    <t xml:space="preserve">Воздействие электрическим полем ультравысокой частоты </t>
  </si>
  <si>
    <t xml:space="preserve"> УВЧ - терапия</t>
  </si>
  <si>
    <t xml:space="preserve">Спелеовоздействие               </t>
  </si>
  <si>
    <t xml:space="preserve">спелеотерапия                   </t>
  </si>
  <si>
    <t xml:space="preserve">Электрофорез лекарственных препаратов при заболеваниях центральной нервной системы и головного мозга </t>
  </si>
  <si>
    <t xml:space="preserve">Электрофорез                                                </t>
  </si>
  <si>
    <t>A17.23.001</t>
  </si>
  <si>
    <t xml:space="preserve">Электрофорез синусоидальными модулированными токами </t>
  </si>
  <si>
    <t>СМТ-форез</t>
  </si>
  <si>
    <t>А17.30.034</t>
  </si>
  <si>
    <r>
      <t xml:space="preserve">Ультрафонофорез лекарственный                                                                        </t>
    </r>
    <r>
      <rPr>
        <i/>
        <sz val="8"/>
        <rFont val="Times New Roman"/>
        <family val="1"/>
        <charset val="204"/>
      </rPr>
      <t xml:space="preserve">  </t>
    </r>
  </si>
  <si>
    <r>
      <t xml:space="preserve">Гальванизация                                                  </t>
    </r>
    <r>
      <rPr>
        <sz val="8"/>
        <rFont val="Times New Roman"/>
        <family val="1"/>
        <charset val="204"/>
      </rPr>
      <t xml:space="preserve"> </t>
    </r>
  </si>
  <si>
    <t>А17.24.002</t>
  </si>
  <si>
    <r>
      <t xml:space="preserve">Гальванизация при заболеваниях периферической нервной системы                                                  </t>
    </r>
    <r>
      <rPr>
        <sz val="8"/>
        <rFont val="Times New Roman"/>
        <family val="1"/>
        <charset val="204"/>
      </rPr>
      <t xml:space="preserve"> </t>
    </r>
  </si>
  <si>
    <t xml:space="preserve">Общая магнитотерапия                                             </t>
  </si>
  <si>
    <t xml:space="preserve">Воздействие коротким ультрафиолетовым излучением </t>
  </si>
  <si>
    <t>A22.30.003</t>
  </si>
  <si>
    <t xml:space="preserve">Тубусное УФО             </t>
  </si>
  <si>
    <t xml:space="preserve">Аэровоздействие                                                               </t>
  </si>
  <si>
    <t xml:space="preserve">Фитоингаляция на аппарате "Нико"                               </t>
  </si>
  <si>
    <t xml:space="preserve">Аэрофитотерапия                                                                </t>
  </si>
  <si>
    <r>
      <t xml:space="preserve">Воздействие лечебной грязью при заболеваниях костной системы                          </t>
    </r>
    <r>
      <rPr>
        <i/>
        <sz val="8"/>
        <rFont val="Times New Roman"/>
        <family val="1"/>
        <charset val="204"/>
      </rPr>
      <t xml:space="preserve">       </t>
    </r>
  </si>
  <si>
    <t xml:space="preserve">Воздействие лечебной грязью при заболеваниях костной системы                                  </t>
  </si>
  <si>
    <r>
      <t xml:space="preserve">Грязевая аппликация с Яктыкульской грязью                         </t>
    </r>
    <r>
      <rPr>
        <i/>
        <sz val="8"/>
        <rFont val="Times New Roman"/>
        <family val="1"/>
        <charset val="204"/>
      </rPr>
      <t xml:space="preserve">       </t>
    </r>
  </si>
  <si>
    <t xml:space="preserve">Грязевая аппликация с Сакской грязью                                </t>
  </si>
  <si>
    <t xml:space="preserve">Ударно-волновая терапия                                              </t>
  </si>
  <si>
    <t xml:space="preserve">Тракционное вытяжение позвоночника                  </t>
  </si>
  <si>
    <t xml:space="preserve">Тракционное вытяжение позвоночника                       </t>
  </si>
  <si>
    <t>Лечебная физкультура на аппарате «Ормед-кинезо»</t>
  </si>
  <si>
    <t xml:space="preserve">Мониторная очистка кишечника  с использованием одноразовых ректальных наборов </t>
  </si>
  <si>
    <t xml:space="preserve">Общий массаж медицинский  </t>
  </si>
  <si>
    <t>Области задней поверхности шеи, спины и пояснично-крестцовой области, мышц передней брюшной стенки, верхних и нижних конечностей</t>
  </si>
  <si>
    <t xml:space="preserve">Массаж пояснично-крестцового отдела </t>
  </si>
  <si>
    <t xml:space="preserve">Массаж воротниковой области  </t>
  </si>
  <si>
    <t xml:space="preserve">Массаж спины медицинский </t>
  </si>
  <si>
    <t xml:space="preserve">Механотерапия </t>
  </si>
  <si>
    <t>А19.30.006</t>
  </si>
  <si>
    <t>А19.30.007</t>
  </si>
  <si>
    <t>А19.03.001.022</t>
  </si>
  <si>
    <t xml:space="preserve">Лечебная физкультура с использованием аппаратов и тренажеров при травме позвоночника </t>
  </si>
  <si>
    <t>А05.23.007</t>
  </si>
  <si>
    <t>Стабиллометрия</t>
  </si>
  <si>
    <t xml:space="preserve">Термовибромассаж паравертебральных мышц </t>
  </si>
  <si>
    <t>Групповое занятие лечебной физкультурой в бассейне</t>
  </si>
  <si>
    <t>лечебная аквааэробика разовое посещение</t>
  </si>
  <si>
    <t>лечебная аквааэробика по абонементу*</t>
  </si>
  <si>
    <t xml:space="preserve">Примечание: Абонемент* является именным и не подлежит передачи другим лицам. Абонемент приобретается сроком на два месяца (текущий и последующий) и должен включать не менее 10 посещений. Перенос занятий по абонементу возможен при условии предоставлении документов (копии), подтверждающих болезнь или нахождение в командировке и одно посещение без уважительной причины за весь период абонемента при предварительном уведомлении об отказе за 2 рабочих дня по тел. 253-66-50. Дети с 7 до 14 лет допускаются только с родителями. Подростки с 14 лет допускаются в чашу бассейна при умении держаться на воде без сопровождения взрослого. Для посещения бассейна необходимо иметь справку (от терапевта для взрослого, и от педиатра для детей) разрешающую посещать бассейн и фото 3*4 (для абонемента) также пройти осмотр у медицинского работника санатория и заверить у него медицинскую справку из поликлиники по месту жительства. При отсутствии справки необходимо получить допуск к занятиям лечебным плаванием у врачебного персонала санатория "Зеленая роща" </t>
  </si>
  <si>
    <t>Лечебное плавание в бассейне (по абонементу*)</t>
  </si>
  <si>
    <t>Лечебное плавание в бассейне(разовое посещение)</t>
  </si>
  <si>
    <t>7. Групповое занятие лечебной физкультурой в бассейне (Аквааэробика)</t>
  </si>
  <si>
    <t>Разовое посещение</t>
  </si>
  <si>
    <t>По абонементу (не менее 10 занятий в месяц)</t>
  </si>
  <si>
    <t xml:space="preserve">Групповое занятие лечебной физкультурой при заболеваниях позвоночника </t>
  </si>
  <si>
    <t>А19.03.002.002</t>
  </si>
  <si>
    <t xml:space="preserve">Суточное мониторирование артериального давления </t>
  </si>
  <si>
    <t xml:space="preserve">Ультразвуковое исследование предстательной железы трансректальное </t>
  </si>
  <si>
    <t>А04.21.001.001</t>
  </si>
  <si>
    <t xml:space="preserve">Ультразвуковое исследование органов брюшной полости (комплексное) </t>
  </si>
  <si>
    <t>Печень, желч. пузырь, подж. железа. селезенка</t>
  </si>
  <si>
    <t xml:space="preserve">Дуплексное сканирование сосудов (артерий и вен) верхних конечностей </t>
  </si>
  <si>
    <t xml:space="preserve">A04.12.005 </t>
  </si>
  <si>
    <t>A04.12.006</t>
  </si>
  <si>
    <t xml:space="preserve">Дуплексное сканирование сосудов (артерий и вен) нижних конечностей </t>
  </si>
  <si>
    <t>А04.12.018</t>
  </si>
  <si>
    <t xml:space="preserve">Дуплексное сканирование транскраниальное артерий и вен </t>
  </si>
  <si>
    <t>УЗДС МАГ</t>
  </si>
  <si>
    <t xml:space="preserve">Внутримышечное введение лекарственных препаратов </t>
  </si>
  <si>
    <t xml:space="preserve">Внутривенное введение лекарственных препаратов </t>
  </si>
  <si>
    <t xml:space="preserve">Взятие крови из периферической вены </t>
  </si>
  <si>
    <t xml:space="preserve">Фитотерапия </t>
  </si>
  <si>
    <t>Фиточай</t>
  </si>
  <si>
    <t xml:space="preserve">A20.30.026.001 </t>
  </si>
  <si>
    <t xml:space="preserve">Оксигенотерапия энтеральная </t>
  </si>
  <si>
    <t>А22.13.001</t>
  </si>
  <si>
    <t xml:space="preserve">Лазерное облучение крови </t>
  </si>
  <si>
    <t>Внутривенное облучение крови</t>
  </si>
  <si>
    <t xml:space="preserve">Низкоинтенсивное лазерное облучение кожи </t>
  </si>
  <si>
    <t>Надвенное лазерное облучение крови</t>
  </si>
  <si>
    <t>Местное воздействие низкоинтенсивным лазерным излучением инфракрасного и красного спектра от аппарата "ЛАЗМИК"</t>
  </si>
  <si>
    <t>A22.04.003</t>
  </si>
  <si>
    <t xml:space="preserve">Воздействие низкоинтенсивным лазерным излучением при заболеваниях суставов </t>
  </si>
  <si>
    <t xml:space="preserve">A22.08.007 </t>
  </si>
  <si>
    <t xml:space="preserve">Воздействие низкоинтенсивным лазерным излучением при заболеваниях верхних дыхательных путей </t>
  </si>
  <si>
    <t xml:space="preserve">Внутривенное капельное введение озонированного физиологического раствора </t>
  </si>
  <si>
    <t xml:space="preserve">Озонотерапия </t>
  </si>
  <si>
    <t>A20.30.024</t>
  </si>
  <si>
    <t xml:space="preserve">Аппаратная физиотерапия на аппарате «Андро-Гин»             </t>
  </si>
  <si>
    <t xml:space="preserve">Постановка пиявок </t>
  </si>
  <si>
    <t xml:space="preserve">A22.20.008 </t>
  </si>
  <si>
    <t xml:space="preserve">Магнитолазеротерапия при заболеваниях женских половых органов </t>
  </si>
  <si>
    <t xml:space="preserve">A17.21.003 </t>
  </si>
  <si>
    <t xml:space="preserve">Ректальное воздействие магнитными полями при заболеваниях мужских половых органов </t>
  </si>
  <si>
    <t xml:space="preserve">A17.01.002 </t>
  </si>
  <si>
    <t xml:space="preserve">Воздействие на точки акупунктуры другими физическими факторами </t>
  </si>
  <si>
    <r>
      <t xml:space="preserve">Сеанс иглорефлексотерапии </t>
    </r>
    <r>
      <rPr>
        <i/>
        <sz val="8"/>
        <rFont val="Times New Roman"/>
        <family val="1"/>
        <charset val="204"/>
      </rPr>
      <t xml:space="preserve">                                                                            </t>
    </r>
  </si>
  <si>
    <t xml:space="preserve">Фармакопунктура (без стоимости медикаментов)                  </t>
  </si>
  <si>
    <t xml:space="preserve">Цзю-терапия                                                                           </t>
  </si>
  <si>
    <t>с 1 апреля  по 31 декабря 2019 года</t>
  </si>
  <si>
    <t>"______"_______________2019 г.</t>
  </si>
  <si>
    <t>A22.14.003</t>
  </si>
  <si>
    <t xml:space="preserve">Воздействие низкоинтенсивным лазерным излучением при заболеваниях печени и желчевыводящих путей </t>
  </si>
  <si>
    <t>___________________Ф.Р.Байтеряков</t>
  </si>
  <si>
    <t xml:space="preserve">A23.30.013.003 </t>
  </si>
  <si>
    <t xml:space="preserve">Применение спортивных игр в реабилитационном процессе </t>
  </si>
  <si>
    <t xml:space="preserve">A13.23.002 </t>
  </si>
  <si>
    <t xml:space="preserve">Медико-логопедическое исследование при афазии </t>
  </si>
  <si>
    <t xml:space="preserve">Медико-логопедическое исследование при дизартрии </t>
  </si>
  <si>
    <t>A13.23.003</t>
  </si>
  <si>
    <t xml:space="preserve">1 процедура </t>
  </si>
  <si>
    <t xml:space="preserve">Аэрозольтерапия при заболеваниях нижних дыхательных путей </t>
  </si>
  <si>
    <t xml:space="preserve">A17.09.002.001 </t>
  </si>
  <si>
    <t xml:space="preserve">A02.12.002 </t>
  </si>
  <si>
    <t xml:space="preserve">Измерение артериального давления на периферических артериях </t>
  </si>
  <si>
    <t xml:space="preserve">A02.20.002 </t>
  </si>
  <si>
    <t xml:space="preserve">Измерение базальной температуры </t>
  </si>
  <si>
    <t xml:space="preserve">A01.30.010 </t>
  </si>
  <si>
    <t xml:space="preserve">Визуальный осмотр терапевтический </t>
  </si>
  <si>
    <t>Допуск к занятиям лечебным плаванием:</t>
  </si>
  <si>
    <t xml:space="preserve">A05.10.004 </t>
  </si>
  <si>
    <t xml:space="preserve">Расшифровка, описание и интерпретация электрокардиографических данных </t>
  </si>
  <si>
    <t xml:space="preserve">A05.10.006 </t>
  </si>
  <si>
    <t xml:space="preserve">Регистрация электрокардиограммы </t>
  </si>
  <si>
    <t>лечебное плавание с термотерапией в субботу с 8.00 ч. до 21.00 ч., в воскресенье с 8.00 ч. до 21.00 ч.</t>
  </si>
  <si>
    <t xml:space="preserve">В03.016.003 </t>
  </si>
  <si>
    <t xml:space="preserve">Общий (клинический) анализ крови развернутый </t>
  </si>
  <si>
    <t>В03.016.006</t>
  </si>
  <si>
    <t xml:space="preserve">Общий (клинический) анализ мочи </t>
  </si>
  <si>
    <t>женщинам</t>
  </si>
  <si>
    <t>Оформление санаторно-курортной карты:</t>
  </si>
  <si>
    <t>14. Прием врача-озонотерапевта</t>
  </si>
  <si>
    <t>15. Прием врача-гирудотерапевта</t>
  </si>
  <si>
    <t>18. Прием врача акушера-гинеколога</t>
  </si>
  <si>
    <t>19. Иглорефлексотерапия</t>
  </si>
  <si>
    <t xml:space="preserve">Гидроколоновоздействие при заболеваниях толстой кишки </t>
  </si>
  <si>
    <t>A11.18.005</t>
  </si>
  <si>
    <t>17</t>
  </si>
  <si>
    <t>18</t>
  </si>
  <si>
    <t>19</t>
  </si>
  <si>
    <t xml:space="preserve">для сотрудников </t>
  </si>
  <si>
    <t>Заместитель директора по развитию</t>
  </si>
  <si>
    <t>А.В. Тухватуллин</t>
  </si>
  <si>
    <t>Главный бухгалтер</t>
  </si>
  <si>
    <t>А.М. Шафикова</t>
  </si>
  <si>
    <t>Главный врач</t>
  </si>
  <si>
    <t>У.Ф. Валеев</t>
  </si>
  <si>
    <t>Начальник ЛДК</t>
  </si>
  <si>
    <t>А.Б. Шакурова</t>
  </si>
  <si>
    <t>Начальник отдела маркетинга</t>
  </si>
  <si>
    <t>С.Ф. Михонина</t>
  </si>
  <si>
    <t>Начальник ПЭО</t>
  </si>
  <si>
    <t>Е.А. Тудейкина</t>
  </si>
  <si>
    <t>Начальник отдела продаж</t>
  </si>
  <si>
    <t>А.Г. Гостев</t>
  </si>
  <si>
    <t>Определение процентного соотношения воды, мышечной и жировой ткани с помощью биоимпедансметра</t>
  </si>
  <si>
    <t>А20.24.005</t>
  </si>
  <si>
    <t>Гипербарическая оксигенация</t>
  </si>
  <si>
    <t>разовое посещение</t>
  </si>
  <si>
    <t>Кабинет "Гипербарической оксигенации"</t>
  </si>
  <si>
    <t>барокамера</t>
  </si>
  <si>
    <t>А05.30.014</t>
  </si>
  <si>
    <t>Биоимпедансметрия</t>
  </si>
  <si>
    <t>Электросоматография</t>
  </si>
  <si>
    <t>Ванна пенно-солодковая</t>
  </si>
  <si>
    <t>Г.С. Александров</t>
  </si>
  <si>
    <t>Заместитель директора по общим вопросам</t>
  </si>
  <si>
    <t>А.С. Рушманов</t>
  </si>
  <si>
    <t>УВЧ - терапия</t>
  </si>
  <si>
    <t xml:space="preserve">Спелеотерапия                   </t>
  </si>
  <si>
    <t>Способ количественного исследования характеристик управления позой у человека, на основе измерения координат центра давления в плоскости опоры, осуществляемый с помощью стабилоплатформы</t>
  </si>
  <si>
    <t>Ванны воздушно-пузырьковые (жемчужные)</t>
  </si>
  <si>
    <t>Процедура улучшает обменные процессы, обладает легким седативным влиянием, улучшает иммунитет и повышает сопротивляемость организма, улучшает состояния кожи.</t>
  </si>
  <si>
    <t xml:space="preserve">вторник, четверг – 19.00 ч. </t>
  </si>
  <si>
    <t>Групповое занятие лечебной физкультурой в бассейне (по абонементу*)</t>
  </si>
  <si>
    <t>Позволяет быстро и точно отразить на графической модели человеческого тела зоны с различными электрическими потенциалами, выявляя нарушения даже на ранней стадии, при отсутствии клинических проявлений.</t>
  </si>
  <si>
    <t>12. Прочие медицинские  услуги</t>
  </si>
  <si>
    <t>Вибромагнитолазерная стимуляция предстательной железы + накожная лазерная терапия органов малого таза</t>
  </si>
  <si>
    <t>16. Урологические процедуры</t>
  </si>
  <si>
    <t xml:space="preserve">Ректальное воздействие магнитными полями при заболеваниях мужских половых органов (аппарат "Андрогин") </t>
  </si>
  <si>
    <t>"Матрикс - ЛЛОД" терапия для эректильной дисфункции (при половом бессилие)</t>
  </si>
  <si>
    <t xml:space="preserve">Прием (осмотр, консультация) врача-проктолога первичный </t>
  </si>
  <si>
    <t xml:space="preserve">Прием (осмотр, консультация) врача-проктолога повторный </t>
  </si>
  <si>
    <t>Ректальное воздействие магнитными полями при заболеваниях мужских половых органов</t>
  </si>
  <si>
    <t>Лечение эректильной дисфункции методом локального лазерного отрицательного давления.</t>
  </si>
  <si>
    <t xml:space="preserve">Прием (осмотр, консультация) врача-колопроктолога первичный </t>
  </si>
  <si>
    <t xml:space="preserve">B01.018.001 </t>
  </si>
  <si>
    <t xml:space="preserve">Прием (осмотр, консультация) врача-колопроктолога повторный </t>
  </si>
  <si>
    <t xml:space="preserve">B01.018.002 </t>
  </si>
  <si>
    <t>процедура, направленная на улучшение качества наружного слоя кожи, изменения которого связаны с естественными процессами старения</t>
  </si>
  <si>
    <t xml:space="preserve">Стоимость услуги, руб. </t>
  </si>
  <si>
    <t>Себестоимость услуги, руб.</t>
  </si>
  <si>
    <t>Кумысолечение</t>
  </si>
  <si>
    <t>150 мл.</t>
  </si>
  <si>
    <t>Кумы́с — кисломолочный напиток беловатого цвета из кобыльего молока, полученный в результате молочнокислого и спиртового брожения при помощи болгарской и ацидофильной молочнокислых палочек и дрожжей.</t>
  </si>
  <si>
    <t>Четырехкамерные бальнеологические ванны (для рук)</t>
  </si>
  <si>
    <t>4-х камерные ванны значительно легче переносятся больными, чем общие ванны и могут применяться в ряде случаев при сопутствующих заболеваниях сердечнососудистой и центральной нервной систем. Широкий спектр применения бальнеологических локальных ванн обусловлен наличием разнообразнейших методик с использованием природных минеральных лекарственных добавок.</t>
  </si>
  <si>
    <t>Четырехкамерные бальнеологические ванны (для ног)</t>
  </si>
  <si>
    <t>Четырехкамерные бальнеологические ванны</t>
  </si>
  <si>
    <t>Восходящий душ</t>
  </si>
  <si>
    <t>Восходящий душ оказывает тонизирующий, обезболивающий, противовоспалительный эффекты, он способствует укреплению мышц, улучшению кровообращения.</t>
  </si>
  <si>
    <t>Душ Шарко</t>
  </si>
  <si>
    <t>Душ Шарко, за счет контрастной температуры и давления, воздействует на кровеносную и лимфатическую системы: ускоряет обменные процессы; улучшает питание кожи, повышает ее эластичность и упругость.</t>
  </si>
  <si>
    <t>Аппаратно-программный комплекс «МУЛЬТИМАГ»</t>
  </si>
  <si>
    <t>Аппаратно-программный комплекс «МУЛЬТИМАГ» предназначен для дозированного воздействия слабыми частотно-модулированными магнитными полями на организм человека в целом и на отдельные его части. Метод основан на лечебном и оздоровительном действии низко-интенсивного магнитного поля специальной структуры. Лечение эффективно, безболезненно и вызывает приятные субъективные ощущения.</t>
  </si>
  <si>
    <t>Групповой сеанс психотерапии "РЕЛАКС"</t>
  </si>
  <si>
    <t>Групповой сеанс психотерапии "РЕЛАКС" - Ступени релаксации и саморегуляции</t>
  </si>
  <si>
    <t>Тренинговая группа "Зеркало"</t>
  </si>
  <si>
    <t>1 сессия</t>
  </si>
  <si>
    <t>Группа отражения и поддержки</t>
  </si>
  <si>
    <t>Индивидуальная программа "РАЗВИТИЕ"</t>
  </si>
  <si>
    <t>Индивидуальная программа с использованием процедур специальной психологии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</si>
  <si>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</si>
  <si>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</si>
  <si>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врача-акушера-гинеколога первичный</t>
  </si>
  <si>
    <t>Прием (осмотр, консультация) врача-акушера-гинеколога первичный (для отдыхающих в санатории)</t>
  </si>
  <si>
    <t>Прием (осмотр, консультация) врача-акушера-гинеколога повторный (для отыхающих в санатории)</t>
  </si>
  <si>
    <t>Пульсоксиметрия</t>
  </si>
  <si>
    <t>Плетизмография</t>
  </si>
  <si>
    <t>Метод графической регистрации колебаний объема отдельных частей тела, связанных с изменениями кровенаполнения сосудов во времени и под влиянием функциональных нагрузок в целях исследования кровотока и функционального состояния сосудов данной области.</t>
  </si>
  <si>
    <t>B01.034.001</t>
  </si>
  <si>
    <t>B01.034.002</t>
  </si>
  <si>
    <t>A13.29.008.001</t>
  </si>
  <si>
    <t>A11.01.002</t>
  </si>
  <si>
    <t>Заместитель директора по коммерческим вопросам</t>
  </si>
  <si>
    <t>Орошение волосяной части головы</t>
  </si>
  <si>
    <t>Орошение десен</t>
  </si>
  <si>
    <t>Орошение глаз</t>
  </si>
  <si>
    <t>17. Прием врача травматолога-ортопеда</t>
  </si>
  <si>
    <t>Прием врача травматолога-ортопеда и изготовление индивидуальных ортопедических стелек</t>
  </si>
  <si>
    <t>Гинекологоческое орошение</t>
  </si>
  <si>
    <t xml:space="preserve">Главный бухгалтер </t>
  </si>
  <si>
    <t>"______"_______________2020 г.</t>
  </si>
  <si>
    <t>Пульсоксиметрия – это аппаратный метод исследования, позволяющий установить уровень насыщения крови кислородом и расчет вариабельности сердечного ритма на медицинском сканере БИОРС.</t>
  </si>
  <si>
    <t>Лабораторные исследования</t>
  </si>
  <si>
    <t>Мониторная очистка кишечника  с использованием одноразовых ректальных наборов (МОК)</t>
  </si>
  <si>
    <t>Прием (осмотр, консультация) врача-траматолога первичный</t>
  </si>
  <si>
    <t>Прием (осмотр, консультация) врача-траматолога повторный</t>
  </si>
  <si>
    <t>Прием (осмотр,консультация) консилиума врачей первичный (невролог)</t>
  </si>
  <si>
    <t>Прием (осмотр,консультация) консилиума врачей первичный (терапевт)</t>
  </si>
  <si>
    <t>Прием (осмотр,консультация) консилиума врачей первичный для сотрудников</t>
  </si>
  <si>
    <t>МД плюс</t>
  </si>
  <si>
    <t>Инспектрум Клиник</t>
  </si>
  <si>
    <t>Медицинский центр Форвард</t>
  </si>
  <si>
    <t>Медик</t>
  </si>
  <si>
    <t>Мать и дитя</t>
  </si>
  <si>
    <t>Семья</t>
  </si>
  <si>
    <t>РиноМед</t>
  </si>
  <si>
    <t>ПроМедицина</t>
  </si>
  <si>
    <t>АйМед</t>
  </si>
  <si>
    <t>Мэди</t>
  </si>
  <si>
    <t>Медицинский центр Здоровое Поколение</t>
  </si>
  <si>
    <t>460/640</t>
  </si>
  <si>
    <t>360/460</t>
  </si>
  <si>
    <t>900-1400</t>
  </si>
  <si>
    <t>от 1000</t>
  </si>
  <si>
    <t>от 800</t>
  </si>
  <si>
    <t>от 3000</t>
  </si>
  <si>
    <t>Прочие</t>
  </si>
  <si>
    <t>1500-2000</t>
  </si>
  <si>
    <t>диспансер</t>
  </si>
  <si>
    <t>Прием (осмотр, консультация) врача-мануального терапевта первичный</t>
  </si>
  <si>
    <t>Прием без проведения процедуры</t>
  </si>
  <si>
    <t>Прием (осмотр, консультация) врача-мануального терапевта, кандидата медицинских наук первичный</t>
  </si>
  <si>
    <t>Прием (осмотр, консультация) врача-мануального терапевта,  повторный</t>
  </si>
  <si>
    <t>Прием (осмотр, консультация) врача-мануального терапевта, кандидата медицинских наук повторный</t>
  </si>
  <si>
    <t>до 5 процедур</t>
  </si>
  <si>
    <t>от 10 процедур</t>
  </si>
  <si>
    <t>ото 10 процедур</t>
  </si>
  <si>
    <t xml:space="preserve">Электрофорез лекарственных препаратов  </t>
  </si>
  <si>
    <t>Ультразвуковая терапия</t>
  </si>
  <si>
    <t>введение лекарств при помощи ультразвука</t>
  </si>
  <si>
    <t xml:space="preserve">Аппаратно-программный комплекс «МУЛЬТИМАГ» </t>
  </si>
  <si>
    <t>60 мин 1 процедура</t>
  </si>
  <si>
    <t>60 минут от 5 процедур</t>
  </si>
  <si>
    <t>60 минут от 10 процедур</t>
  </si>
  <si>
    <t>30 мин 1 процедура</t>
  </si>
  <si>
    <t>30 минут до 3 процедур</t>
  </si>
  <si>
    <t>30 минут от 5 процедур</t>
  </si>
  <si>
    <t>Карбокситерапия указана стоимость 1 зоны и 2 зон области мелких суставов</t>
  </si>
  <si>
    <t>Газовые (углекислые) уколы</t>
  </si>
  <si>
    <t>60 минут от 3 процедур</t>
  </si>
  <si>
    <t>от 5 процедур</t>
  </si>
  <si>
    <t>от  5 процедур</t>
  </si>
  <si>
    <t xml:space="preserve"> </t>
  </si>
  <si>
    <t>Общий массаж медицинский , 10 единиц</t>
  </si>
  <si>
    <t xml:space="preserve">Массаж воротниковой области , 1,5 единицы </t>
  </si>
  <si>
    <t>Массаж пояснично-крестцового отдела - 1,5 единицы</t>
  </si>
  <si>
    <t>Массаж верхних или нижних конечностей медицинский - 1,5 единицы</t>
  </si>
  <si>
    <t>Массаж спины медицинский  - 3 единицы</t>
  </si>
  <si>
    <t>Массаж шейно-грудного отдела позвоночника  - 2 единицы</t>
  </si>
  <si>
    <t xml:space="preserve">Ванны лекарственные лечебные  (хвойные,йодобромные, жемчужные, скипидарные, морские)                                                                          </t>
  </si>
  <si>
    <t>Воздействие низкоинтенсивным лазерным излучением - 1 зона</t>
  </si>
  <si>
    <t>Лечение лазером</t>
  </si>
  <si>
    <t>Мануальная терапия</t>
  </si>
  <si>
    <t>Мануальная терапия, кандидат медицинских наук</t>
  </si>
  <si>
    <t>Блокада</t>
  </si>
  <si>
    <t>Параветебральное введение медикаментов</t>
  </si>
  <si>
    <t>Периартикулярное введение медикаментов</t>
  </si>
  <si>
    <t>остеохондроз, протрузия, грыжа диска, сколиоз, спондилоартроз, болезнь Бехтерева</t>
  </si>
  <si>
    <t xml:space="preserve">остеохондроз, протрузия, грыжа диска,  спондилоартроз, </t>
  </si>
  <si>
    <t xml:space="preserve">остеохондроз, протрузия, грыжа диска, спондилоартроз, </t>
  </si>
  <si>
    <t>Заболевания суставов</t>
  </si>
  <si>
    <t>Гальваногрязь</t>
  </si>
  <si>
    <t>Грязелечение при наличии болевых синдромов</t>
  </si>
  <si>
    <t>СМТ форез грязи</t>
  </si>
  <si>
    <t>Ультрафонофорез грязи</t>
  </si>
  <si>
    <t>Грязелечение для улучшения регенерации тканей</t>
  </si>
  <si>
    <t>с 01 октября 2020 года - 31 марта 2021 года</t>
  </si>
  <si>
    <t>Консультация (стоимость занятия в разделе прочие услуги)</t>
  </si>
  <si>
    <t>А22.01.001</t>
  </si>
  <si>
    <t>А17.30.018</t>
  </si>
  <si>
    <t>А17.30.017</t>
  </si>
  <si>
    <t>А20.30.018</t>
  </si>
  <si>
    <t>А17.23.001</t>
  </si>
  <si>
    <t>А17.30.024.002</t>
  </si>
  <si>
    <t>А17.01.007</t>
  </si>
  <si>
    <t>А17.29.002</t>
  </si>
  <si>
    <t>А17.30.025</t>
  </si>
  <si>
    <t>А17.30.026</t>
  </si>
  <si>
    <t>A17.09.002.001</t>
  </si>
  <si>
    <t>А22.30.003</t>
  </si>
  <si>
    <t>А20.30.019</t>
  </si>
  <si>
    <t>А20.03.001</t>
  </si>
  <si>
    <t>А20.30.036</t>
  </si>
  <si>
    <t>А22.30.015</t>
  </si>
  <si>
    <t>А21.03.008</t>
  </si>
  <si>
    <t>А11.18.005</t>
  </si>
  <si>
    <t>А11.01.002</t>
  </si>
  <si>
    <t>Газовые (углекислые) уколы, процедура направленная на улучшение качества наружного слоя кожи, изменения которого связаны с естественными процессами старения</t>
  </si>
  <si>
    <t>4. Дополнительные массажные процедуры, отпускаемые по договору</t>
  </si>
  <si>
    <t>А21.01.001</t>
  </si>
  <si>
    <t>Общий массаж медицинский, 10 единиц</t>
  </si>
  <si>
    <t>А21.01.003.001</t>
  </si>
  <si>
    <t xml:space="preserve">Массаж воротниковой области, 1,5 единицы </t>
  </si>
  <si>
    <t>А21.03.002.001</t>
  </si>
  <si>
    <t>А21.01.004, А21.01.009</t>
  </si>
  <si>
    <t>А21.03.007</t>
  </si>
  <si>
    <t>А21.03.002.005</t>
  </si>
  <si>
    <t>А21.03.002.006</t>
  </si>
  <si>
    <t>6. Водные лечебные процедуры</t>
  </si>
  <si>
    <t>А19.30.008</t>
  </si>
  <si>
    <t>1 комплекс услуг</t>
  </si>
  <si>
    <t>А01.30.010</t>
  </si>
  <si>
    <t>А02.12.002</t>
  </si>
  <si>
    <t>А02.20.002</t>
  </si>
  <si>
    <t>А19.30.009.002</t>
  </si>
  <si>
    <t>А20.30.006</t>
  </si>
  <si>
    <t>А20.30.030</t>
  </si>
  <si>
    <t>А20.30.005</t>
  </si>
  <si>
    <t>А20.30.002</t>
  </si>
  <si>
    <t>А20.30.011</t>
  </si>
  <si>
    <t>А20.30.010</t>
  </si>
  <si>
    <t>А21.03.010</t>
  </si>
  <si>
    <t>7. Групповое занятие физкультурой в бассейне (Аквааэробика)</t>
  </si>
  <si>
    <t>А23.30.013.003</t>
  </si>
  <si>
    <t>А05.10.004</t>
  </si>
  <si>
    <t>А05.10.006</t>
  </si>
  <si>
    <t>А04.10.002</t>
  </si>
  <si>
    <t>А12.10.005</t>
  </si>
  <si>
    <t>А05.10.008</t>
  </si>
  <si>
    <t>А02.12.002.001</t>
  </si>
  <si>
    <t>А04.22.001</t>
  </si>
  <si>
    <t>А04.20.002</t>
  </si>
  <si>
    <t>А04.14.001</t>
  </si>
  <si>
    <t>А04.20.001.001</t>
  </si>
  <si>
    <t>А04.16.001</t>
  </si>
  <si>
    <t>А04.28.001</t>
  </si>
  <si>
    <t>А04.28.002.003</t>
  </si>
  <si>
    <t>А04.30.010</t>
  </si>
  <si>
    <t>А04.28.003</t>
  </si>
  <si>
    <t>А04.01.001</t>
  </si>
  <si>
    <t>А04.12.005</t>
  </si>
  <si>
    <t>А04.12.006</t>
  </si>
  <si>
    <t>А11.02.002</t>
  </si>
  <si>
    <t>А11.02.003</t>
  </si>
  <si>
    <t>А11.02.009</t>
  </si>
  <si>
    <t>Логопедическое занятие при афтазии</t>
  </si>
  <si>
    <t>Логопедическое занятие при дизартрии</t>
  </si>
  <si>
    <t>40 мин.</t>
  </si>
  <si>
    <t>А13.29.008.002</t>
  </si>
  <si>
    <t>А13.29.008.001</t>
  </si>
  <si>
    <t>А20.30.025</t>
  </si>
  <si>
    <t>А20.30.026.001</t>
  </si>
  <si>
    <t>А18.05.005</t>
  </si>
  <si>
    <t>А22.01.005</t>
  </si>
  <si>
    <t>А20.30.024.006</t>
  </si>
  <si>
    <t>А20.30.024</t>
  </si>
  <si>
    <t>А20.30.024.004</t>
  </si>
  <si>
    <t>А14.05.001</t>
  </si>
  <si>
    <t>А17.01.002</t>
  </si>
  <si>
    <t>Согласовано:</t>
  </si>
  <si>
    <t>Заместитель директора</t>
  </si>
  <si>
    <t>А.З. Тимергалеева</t>
  </si>
  <si>
    <t>снимает усталость, эмоциональное напряжение, тревогу, стресс, заряжает организм энергией</t>
  </si>
  <si>
    <t>снимает усталость, эмоциональное напряжение, тревогу, стресс, заряжает организм энергией и омолаживает, повышет иммунитет; профилактика преждевременного старения кожи; укрепление нервной системы; снятие усталости; похудение</t>
  </si>
  <si>
    <t>Солярий</t>
  </si>
  <si>
    <t>компенсации солнечной недостаточности; борьбы с синдромом хронической усталости; избавления от юношеских угрей; нормализации иммунных реакций организма; лечения заболеваний кожи – псориаза, жирной себореи, экземы; закаливания организма; стимуляции кроветворения</t>
  </si>
  <si>
    <t>Тонизируещее грязевое Spa обертывание</t>
  </si>
  <si>
    <t>варикоз, целлюлит, дряблость кожи, снижение усталости</t>
  </si>
  <si>
    <t>Шоколадное Spa обертывание</t>
  </si>
  <si>
    <t>общее расслабление, сухая и увядающая кожа, целлюлит, повышение тонуса кожи</t>
  </si>
  <si>
    <t>Обертывание морскими водорослями «Ламинария»</t>
  </si>
  <si>
    <t>снижение упругости кожи, целлюлит, сухая кожа</t>
  </si>
  <si>
    <t>5. Массаж на аппаратах</t>
  </si>
  <si>
    <t>Массаж бедра +ягодицы</t>
  </si>
  <si>
    <t>Массаж живота</t>
  </si>
  <si>
    <t>Массаж спины</t>
  </si>
  <si>
    <t>Процедуры вакуумно-роликового массажа на аппарате Blue MONN - коррекция фигуры; уменьшение объема тела; видимое устранение целлюлита; устранение отечности; лимфодренаж; улучшение эластичности кожи; расщепление локальных жировых отложений; улучшение циркуляции крови; моделирование контура тела.
Противопоказания: варикоз, сосудистые звездочки, воспалительные заболевания кожи, онкологические заболевания, опухоли различного генеза</t>
  </si>
  <si>
    <t>Карбокситерапия указана стоимость 1 зоны области мелких суставов</t>
  </si>
  <si>
    <t>Карбокситерапия указана стоимость 1 зоны</t>
  </si>
  <si>
    <t>Прессотерапия (живот+ноги)</t>
  </si>
  <si>
    <t>Прессотерапия (живот)</t>
  </si>
  <si>
    <t>Прессотерапия (ноги)</t>
  </si>
  <si>
    <t>Прессотерапия программа "Антицеллюлитная" с термокремом</t>
  </si>
  <si>
    <t>Прессотерапия программа детокс с маской</t>
  </si>
  <si>
    <t>Процедуры лимфодренаж на аппарате Blue MONN - целлюлит; ожирение;  локальные отложения жировой ткани;  хроническая венозная недостаточность;  мышечное перенапряжение; отечность ног.</t>
  </si>
  <si>
    <t>Прием (осмотр, консультация) врача пульмонолога первичный</t>
  </si>
  <si>
    <t>Прием (осмотр, консультация) врача пульмонолога,  повторный</t>
  </si>
  <si>
    <t>Физкультурно-оздоровительные  игры в зале (волейбол, футбол, баскетбол) с 09.00-16.00</t>
  </si>
  <si>
    <t>Физкультурно-оздоровительные  игры в зале (волейбол, футбол, баскетбол) с 16.00-18.00</t>
  </si>
  <si>
    <t>"______"_______________2021 г.</t>
  </si>
  <si>
    <t xml:space="preserve">Прием (осмотр, консультация) врача-физиотерапевта первичный </t>
  </si>
  <si>
    <t xml:space="preserve">Прием (осмотр, консультация) врача по лечебной физкультуре первичный </t>
  </si>
  <si>
    <t>Прием (осмотр, консультация) врача-акушера-гинеколога повторный</t>
  </si>
  <si>
    <t>Прием (осмотр, консультация) врача функциональной диагностики повторный</t>
  </si>
  <si>
    <t>Осмотр (консультация) врача-физиотерапевта повторный</t>
  </si>
  <si>
    <t>Лекарственная клизма</t>
  </si>
  <si>
    <t xml:space="preserve">Масляная клизма </t>
  </si>
  <si>
    <t>Микроклизма</t>
  </si>
  <si>
    <t>Очистительная клизма</t>
  </si>
  <si>
    <t>Антицеллюлитный массаж (живот, бедра, ягодицы)</t>
  </si>
  <si>
    <t>Орошение волосяной части головы минеральной водой</t>
  </si>
  <si>
    <t>Орошение десен минеральной водой</t>
  </si>
  <si>
    <t>Орошение глаз минеральной водой</t>
  </si>
  <si>
    <t>Сауна</t>
  </si>
  <si>
    <t>Лекарственная клизма (с использованием одноразовой системы)</t>
  </si>
  <si>
    <t>Микроклизма (с использованием одноразовой системы)</t>
  </si>
  <si>
    <t>Очистительная клизма (с использованием одноразовой системы)</t>
  </si>
  <si>
    <t>Масляная клизма (с использованием одноразовой системы)</t>
  </si>
  <si>
    <t>с 01 июля 2021 года - 27 декабря 2021 года</t>
  </si>
  <si>
    <t>Воздействие поляризованным светом</t>
  </si>
  <si>
    <t xml:space="preserve">Мониторная очистка кишечника с использованием озонированной воды и одноразовых ректальных наборов (МОК) </t>
  </si>
  <si>
    <t>остеохондроз, протрузия, грыжа диска, спондилоартроз, заболевания суставов</t>
  </si>
  <si>
    <t>остеохондроз, протрузия, грыжа диска,  спондилоартроз</t>
  </si>
  <si>
    <t>«Кедровая бочка»</t>
  </si>
  <si>
    <t xml:space="preserve">Циркулярный душ                                                             </t>
  </si>
  <si>
    <t>Лечебная физкультура в общем зале по индивидуальному режиму на 1 человека</t>
  </si>
  <si>
    <t xml:space="preserve">Внутривенное вливание лекарственных препаратов </t>
  </si>
  <si>
    <t>Оформление санаторно-курортной карты</t>
  </si>
  <si>
    <t xml:space="preserve">Расшифровка, описание и интерпретация электрокардиографических данных;     Общий (клинический) анализ крови развернутый;                                                       Общий (клинический) анализ мочи </t>
  </si>
  <si>
    <t>Внутривенное вливание озонированного физиологического раствора</t>
  </si>
  <si>
    <t xml:space="preserve">Внутривенное капельное вливание озонированного физиологического раствора </t>
  </si>
  <si>
    <t>45 мин.</t>
  </si>
  <si>
    <t>12. Кабинет фотогемотерапии</t>
  </si>
  <si>
    <t>13. Прием врача-озонотерапевта</t>
  </si>
  <si>
    <t>14. Прием врача-гирудотерапевта</t>
  </si>
  <si>
    <t>15. Прием врача травматолога-ортопеда</t>
  </si>
  <si>
    <t>16. Иглорефлексотерапия</t>
  </si>
  <si>
    <t>17. Прочие медицинские услуги</t>
  </si>
  <si>
    <t>Заместитель директора по лечебной части</t>
  </si>
  <si>
    <t>Б.Н.Ямалов</t>
  </si>
  <si>
    <t xml:space="preserve">Электрофорез лекарственных препаратов при заболеваниях центральной нервной системы и головного мозга                        </t>
  </si>
  <si>
    <t>Электрофорез</t>
  </si>
  <si>
    <t>Гальванизация</t>
  </si>
  <si>
    <r>
      <t xml:space="preserve">Гальванизация при заболеваниях периферической нервной системы                                    </t>
    </r>
    <r>
      <rPr>
        <sz val="8"/>
        <rFont val="Times New Roman"/>
        <family val="1"/>
        <charset val="204"/>
      </rPr>
      <t xml:space="preserve"> </t>
    </r>
  </si>
  <si>
    <t>Дарсонваль</t>
  </si>
  <si>
    <t>Барокамера</t>
  </si>
  <si>
    <t>Процедуры Бассейного комплекса</t>
  </si>
  <si>
    <t>Ванное отделение</t>
  </si>
  <si>
    <t>Лазерное облучение крови внутривенно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</si>
  <si>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</si>
  <si>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</si>
  <si>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15 мин 1 процедура</t>
  </si>
  <si>
    <t>Криокамера</t>
  </si>
  <si>
    <t>5 мин 1 процедура</t>
  </si>
  <si>
    <t>Тракционное вытяжение позвоночника («Ормед-профессионал»)</t>
  </si>
  <si>
    <t>Тракционное вытяжение позвоночника («Акватракцион»)</t>
  </si>
  <si>
    <t>Термовибромассаж паравертебральных мышц на аппарате "Ормед-профилактик"</t>
  </si>
  <si>
    <t>SPOOM коктейль</t>
  </si>
  <si>
    <t>Заведующий курортной поликлиники</t>
  </si>
  <si>
    <t>Н.Н.Сафиуллин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</si>
</sst>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u/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3F2F"/>
      <name val="Arial"/>
      <family val="2"/>
      <charset val="204"/>
    </font>
    <font>
      <sz val="9"/>
      <name val="Arial"/>
      <family val="2"/>
      <charset val="204"/>
    </font>
    <font>
      <sz val="12"/>
      <color rgb="FFC00000"/>
      <name val="Times New Roman"/>
      <family val="1"/>
      <charset val="204"/>
    </font>
    <font>
      <sz val="18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6EF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rgb="FFACC8BD"/>
      </top>
      <bottom style="thin">
        <color rgb="FFACC8BD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377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16" fillId="0" borderId="0" xfId="0" applyFont="1"/>
    <xf numFmtId="0" fontId="16" fillId="3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wrapText="1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17" fontId="5" fillId="3" borderId="2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4" fontId="20" fillId="4" borderId="15" xfId="0" applyNumberFormat="1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3" fontId="5" fillId="0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right" vertical="top" wrapText="1"/>
    </xf>
    <xf numFmtId="4" fontId="21" fillId="0" borderId="2" xfId="0" applyNumberFormat="1" applyFont="1" applyBorder="1" applyAlignment="1">
      <alignment horizontal="right" vertical="top" wrapText="1"/>
    </xf>
    <xf numFmtId="2" fontId="21" fillId="0" borderId="2" xfId="0" applyNumberFormat="1" applyFont="1" applyBorder="1" applyAlignment="1">
      <alignment horizontal="right" vertical="top" wrapText="1"/>
    </xf>
    <xf numFmtId="0" fontId="5" fillId="3" borderId="2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4" fontId="5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wrapText="1"/>
    </xf>
    <xf numFmtId="14" fontId="5" fillId="3" borderId="2" xfId="0" applyNumberFormat="1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4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4" fontId="5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4" fontId="13" fillId="3" borderId="0" xfId="0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0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horizontal="left" vertical="top"/>
    </xf>
    <xf numFmtId="4" fontId="5" fillId="3" borderId="0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5" xr:uid="{00000000-0005-0000-0000-000003000000}"/>
    <cellStyle name="Обычный 2 3" xfId="4" xr:uid="{00000000-0005-0000-0000-000004000000}"/>
    <cellStyle name="Обычный 3" xfId="3" xr:uid="{00000000-0005-0000-0000-000005000000}"/>
    <cellStyle name="Обычный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O282"/>
  <sheetViews>
    <sheetView tabSelected="1" view="pageBreakPreview" topLeftCell="A250" zoomScale="70" zoomScaleNormal="100" zoomScaleSheetLayoutView="70" workbookViewId="0">
      <selection activeCell="B257" sqref="B257:F271"/>
    </sheetView>
  </sheetViews>
  <sheetFormatPr defaultRowHeight="15.75" outlineLevelRow="1" x14ac:dyDescent="0.2"/>
  <cols>
    <col min="1" max="1" width="9.5703125" style="158" customWidth="1"/>
    <col min="2" max="2" width="21.5703125" style="228" customWidth="1"/>
    <col min="3" max="3" width="41.140625" style="158" customWidth="1"/>
    <col min="4" max="4" width="16.85546875" style="229" customWidth="1"/>
    <col min="5" max="5" width="16.42578125" style="274" customWidth="1"/>
    <col min="6" max="6" width="85.85546875" style="158" customWidth="1"/>
    <col min="7" max="16384" width="9.140625" style="158"/>
  </cols>
  <sheetData>
    <row r="1" spans="1:6" x14ac:dyDescent="0.2">
      <c r="E1" s="230"/>
      <c r="F1" s="231" t="s">
        <v>0</v>
      </c>
    </row>
    <row r="2" spans="1:6" x14ac:dyDescent="0.2">
      <c r="E2" s="230"/>
      <c r="F2" s="231" t="s">
        <v>86</v>
      </c>
    </row>
    <row r="3" spans="1:6" x14ac:dyDescent="0.2">
      <c r="E3" s="230"/>
      <c r="F3" s="231" t="s">
        <v>87</v>
      </c>
    </row>
    <row r="4" spans="1:6" x14ac:dyDescent="0.2">
      <c r="E4" s="230"/>
      <c r="F4" s="231" t="s">
        <v>386</v>
      </c>
    </row>
    <row r="5" spans="1:6" x14ac:dyDescent="0.2">
      <c r="E5" s="230"/>
      <c r="F5" s="231" t="s">
        <v>704</v>
      </c>
    </row>
    <row r="6" spans="1:6" x14ac:dyDescent="0.2">
      <c r="D6" s="232"/>
      <c r="E6" s="230"/>
    </row>
    <row r="7" spans="1:6" x14ac:dyDescent="0.2">
      <c r="A7" s="301" t="s">
        <v>1</v>
      </c>
      <c r="B7" s="301"/>
      <c r="C7" s="301"/>
      <c r="D7" s="301"/>
      <c r="E7" s="301"/>
      <c r="F7" s="301"/>
    </row>
    <row r="8" spans="1:6" x14ac:dyDescent="0.2">
      <c r="A8" s="301" t="s">
        <v>2</v>
      </c>
      <c r="B8" s="301"/>
      <c r="C8" s="301"/>
      <c r="D8" s="301"/>
      <c r="E8" s="301"/>
      <c r="F8" s="301"/>
    </row>
    <row r="9" spans="1:6" x14ac:dyDescent="0.2">
      <c r="A9" s="301" t="s">
        <v>3</v>
      </c>
      <c r="B9" s="301"/>
      <c r="C9" s="301"/>
      <c r="D9" s="301"/>
      <c r="E9" s="301"/>
      <c r="F9" s="301"/>
    </row>
    <row r="10" spans="1:6" x14ac:dyDescent="0.2">
      <c r="A10" s="301" t="s">
        <v>723</v>
      </c>
      <c r="B10" s="301"/>
      <c r="C10" s="301"/>
      <c r="D10" s="301"/>
      <c r="E10" s="301"/>
      <c r="F10" s="301"/>
    </row>
    <row r="11" spans="1:6" ht="31.5" x14ac:dyDescent="0.2">
      <c r="A11" s="233" t="s">
        <v>4</v>
      </c>
      <c r="B11" s="234" t="s">
        <v>117</v>
      </c>
      <c r="C11" s="233" t="s">
        <v>5</v>
      </c>
      <c r="D11" s="233" t="s">
        <v>6</v>
      </c>
      <c r="E11" s="235" t="s">
        <v>473</v>
      </c>
      <c r="F11" s="236" t="s">
        <v>273</v>
      </c>
    </row>
    <row r="12" spans="1:6" ht="23.25" x14ac:dyDescent="0.2">
      <c r="A12" s="285" t="s">
        <v>8</v>
      </c>
      <c r="B12" s="286"/>
      <c r="C12" s="286"/>
      <c r="D12" s="286"/>
      <c r="E12" s="286"/>
      <c r="F12" s="286"/>
    </row>
    <row r="13" spans="1:6" ht="31.5" outlineLevel="1" x14ac:dyDescent="0.2">
      <c r="A13" s="222">
        <v>1</v>
      </c>
      <c r="B13" s="237"/>
      <c r="C13" s="87" t="s">
        <v>544</v>
      </c>
      <c r="D13" s="222" t="s">
        <v>9</v>
      </c>
      <c r="E13" s="223">
        <v>1000</v>
      </c>
      <c r="F13" s="87" t="s">
        <v>545</v>
      </c>
    </row>
    <row r="14" spans="1:6" ht="31.5" outlineLevel="1" x14ac:dyDescent="0.2">
      <c r="A14" s="222">
        <v>2</v>
      </c>
      <c r="B14" s="237"/>
      <c r="C14" s="87" t="s">
        <v>700</v>
      </c>
      <c r="D14" s="222" t="s">
        <v>9</v>
      </c>
      <c r="E14" s="223">
        <v>1000</v>
      </c>
      <c r="F14" s="87" t="s">
        <v>545</v>
      </c>
    </row>
    <row r="15" spans="1:6" ht="31.5" outlineLevel="1" x14ac:dyDescent="0.2">
      <c r="A15" s="222">
        <v>3</v>
      </c>
      <c r="B15" s="222" t="s">
        <v>127</v>
      </c>
      <c r="C15" s="238" t="s">
        <v>125</v>
      </c>
      <c r="D15" s="222" t="s">
        <v>9</v>
      </c>
      <c r="E15" s="223">
        <v>800</v>
      </c>
      <c r="F15" s="225" t="s">
        <v>125</v>
      </c>
    </row>
    <row r="16" spans="1:6" ht="31.5" outlineLevel="1" x14ac:dyDescent="0.2">
      <c r="A16" s="222">
        <v>4</v>
      </c>
      <c r="B16" s="222" t="s">
        <v>119</v>
      </c>
      <c r="C16" s="238" t="s">
        <v>118</v>
      </c>
      <c r="D16" s="222" t="s">
        <v>9</v>
      </c>
      <c r="E16" s="223">
        <v>1000</v>
      </c>
      <c r="F16" s="225" t="s">
        <v>118</v>
      </c>
    </row>
    <row r="17" spans="1:6" ht="31.5" outlineLevel="1" x14ac:dyDescent="0.2">
      <c r="A17" s="222">
        <v>5</v>
      </c>
      <c r="B17" s="222" t="s">
        <v>121</v>
      </c>
      <c r="C17" s="238" t="s">
        <v>120</v>
      </c>
      <c r="D17" s="222" t="s">
        <v>9</v>
      </c>
      <c r="E17" s="223">
        <v>1000</v>
      </c>
      <c r="F17" s="225" t="s">
        <v>120</v>
      </c>
    </row>
    <row r="18" spans="1:6" ht="31.5" outlineLevel="1" x14ac:dyDescent="0.2">
      <c r="A18" s="222">
        <v>6</v>
      </c>
      <c r="B18" s="222" t="s">
        <v>137</v>
      </c>
      <c r="C18" s="238" t="s">
        <v>136</v>
      </c>
      <c r="D18" s="222" t="s">
        <v>9</v>
      </c>
      <c r="E18" s="223">
        <v>1000</v>
      </c>
      <c r="F18" s="225" t="s">
        <v>136</v>
      </c>
    </row>
    <row r="19" spans="1:6" ht="31.5" outlineLevel="1" x14ac:dyDescent="0.2">
      <c r="A19" s="222">
        <v>7</v>
      </c>
      <c r="B19" s="222" t="s">
        <v>141</v>
      </c>
      <c r="C19" s="238" t="s">
        <v>140</v>
      </c>
      <c r="D19" s="222" t="s">
        <v>9</v>
      </c>
      <c r="E19" s="223">
        <v>1000</v>
      </c>
      <c r="F19" s="225" t="s">
        <v>140</v>
      </c>
    </row>
    <row r="20" spans="1:6" ht="31.5" outlineLevel="1" x14ac:dyDescent="0.2">
      <c r="A20" s="222">
        <v>8</v>
      </c>
      <c r="B20" s="222" t="s">
        <v>126</v>
      </c>
      <c r="C20" s="238" t="s">
        <v>124</v>
      </c>
      <c r="D20" s="222" t="s">
        <v>9</v>
      </c>
      <c r="E20" s="223">
        <v>1000</v>
      </c>
      <c r="F20" s="225" t="s">
        <v>124</v>
      </c>
    </row>
    <row r="21" spans="1:6" ht="31.5" outlineLevel="1" x14ac:dyDescent="0.2">
      <c r="A21" s="222">
        <v>9</v>
      </c>
      <c r="B21" s="222" t="s">
        <v>145</v>
      </c>
      <c r="C21" s="238" t="s">
        <v>144</v>
      </c>
      <c r="D21" s="222" t="s">
        <v>9</v>
      </c>
      <c r="E21" s="223">
        <v>1000</v>
      </c>
      <c r="F21" s="225" t="s">
        <v>144</v>
      </c>
    </row>
    <row r="22" spans="1:6" ht="31.5" outlineLevel="1" x14ac:dyDescent="0.2">
      <c r="A22" s="222">
        <v>10</v>
      </c>
      <c r="B22" s="222" t="s">
        <v>149</v>
      </c>
      <c r="C22" s="238" t="s">
        <v>497</v>
      </c>
      <c r="D22" s="222" t="s">
        <v>9</v>
      </c>
      <c r="E22" s="223">
        <v>1000</v>
      </c>
      <c r="F22" s="225" t="s">
        <v>497</v>
      </c>
    </row>
    <row r="23" spans="1:6" ht="31.5" outlineLevel="1" x14ac:dyDescent="0.2">
      <c r="A23" s="222">
        <v>11</v>
      </c>
      <c r="B23" s="222" t="s">
        <v>153</v>
      </c>
      <c r="C23" s="238" t="s">
        <v>152</v>
      </c>
      <c r="D23" s="222" t="s">
        <v>9</v>
      </c>
      <c r="E23" s="223">
        <v>1000</v>
      </c>
      <c r="F23" s="225" t="s">
        <v>152</v>
      </c>
    </row>
    <row r="24" spans="1:6" ht="31.5" outlineLevel="1" x14ac:dyDescent="0.2">
      <c r="A24" s="222">
        <v>12</v>
      </c>
      <c r="B24" s="222" t="s">
        <v>469</v>
      </c>
      <c r="C24" s="238" t="s">
        <v>468</v>
      </c>
      <c r="D24" s="222" t="s">
        <v>9</v>
      </c>
      <c r="E24" s="223">
        <v>1000</v>
      </c>
      <c r="F24" s="225" t="s">
        <v>464</v>
      </c>
    </row>
    <row r="25" spans="1:6" ht="31.5" outlineLevel="1" x14ac:dyDescent="0.2">
      <c r="A25" s="222">
        <v>13</v>
      </c>
      <c r="B25" s="222" t="s">
        <v>123</v>
      </c>
      <c r="C25" s="238" t="s">
        <v>122</v>
      </c>
      <c r="D25" s="222" t="s">
        <v>9</v>
      </c>
      <c r="E25" s="223">
        <v>1000</v>
      </c>
      <c r="F25" s="225" t="s">
        <v>122</v>
      </c>
    </row>
    <row r="26" spans="1:6" ht="31.5" outlineLevel="1" x14ac:dyDescent="0.2">
      <c r="A26" s="222">
        <v>14</v>
      </c>
      <c r="B26" s="222" t="s">
        <v>157</v>
      </c>
      <c r="C26" s="238" t="s">
        <v>156</v>
      </c>
      <c r="D26" s="222" t="s">
        <v>9</v>
      </c>
      <c r="E26" s="223">
        <v>800</v>
      </c>
      <c r="F26" s="225" t="s">
        <v>156</v>
      </c>
    </row>
    <row r="27" spans="1:6" ht="47.25" outlineLevel="1" x14ac:dyDescent="0.2">
      <c r="A27" s="222">
        <v>15</v>
      </c>
      <c r="B27" s="222" t="s">
        <v>163</v>
      </c>
      <c r="C27" s="238" t="s">
        <v>162</v>
      </c>
      <c r="D27" s="222" t="s">
        <v>9</v>
      </c>
      <c r="E27" s="223">
        <v>800</v>
      </c>
      <c r="F27" s="225" t="s">
        <v>162</v>
      </c>
    </row>
    <row r="28" spans="1:6" ht="31.5" outlineLevel="1" x14ac:dyDescent="0.2">
      <c r="A28" s="222">
        <v>16</v>
      </c>
      <c r="B28" s="222" t="s">
        <v>165</v>
      </c>
      <c r="C28" s="238" t="s">
        <v>705</v>
      </c>
      <c r="D28" s="222" t="s">
        <v>9</v>
      </c>
      <c r="E28" s="223">
        <v>800</v>
      </c>
      <c r="F28" s="225" t="s">
        <v>705</v>
      </c>
    </row>
    <row r="29" spans="1:6" ht="31.5" outlineLevel="1" x14ac:dyDescent="0.2">
      <c r="A29" s="222">
        <v>17</v>
      </c>
      <c r="B29" s="222" t="s">
        <v>167</v>
      </c>
      <c r="C29" s="238" t="s">
        <v>166</v>
      </c>
      <c r="D29" s="222" t="s">
        <v>9</v>
      </c>
      <c r="E29" s="223">
        <v>800</v>
      </c>
      <c r="F29" s="225" t="s">
        <v>706</v>
      </c>
    </row>
    <row r="30" spans="1:6" ht="31.5" outlineLevel="1" x14ac:dyDescent="0.2">
      <c r="A30" s="222">
        <v>18</v>
      </c>
      <c r="B30" s="222" t="s">
        <v>503</v>
      </c>
      <c r="C30" s="238" t="s">
        <v>495</v>
      </c>
      <c r="D30" s="222" t="s">
        <v>9</v>
      </c>
      <c r="E30" s="223">
        <v>1000</v>
      </c>
      <c r="F30" s="87" t="s">
        <v>495</v>
      </c>
    </row>
    <row r="31" spans="1:6" ht="31.5" outlineLevel="1" x14ac:dyDescent="0.2">
      <c r="A31" s="222">
        <v>19</v>
      </c>
      <c r="B31" s="222"/>
      <c r="C31" s="87" t="s">
        <v>519</v>
      </c>
      <c r="D31" s="222" t="s">
        <v>9</v>
      </c>
      <c r="E31" s="223">
        <v>1000</v>
      </c>
      <c r="F31" s="87" t="s">
        <v>519</v>
      </c>
    </row>
    <row r="32" spans="1:6" ht="31.5" outlineLevel="1" x14ac:dyDescent="0.2">
      <c r="A32" s="222">
        <v>20</v>
      </c>
      <c r="B32" s="222"/>
      <c r="C32" s="87" t="s">
        <v>754</v>
      </c>
      <c r="D32" s="222" t="s">
        <v>9</v>
      </c>
      <c r="E32" s="221">
        <v>1000</v>
      </c>
      <c r="F32" s="87" t="s">
        <v>754</v>
      </c>
    </row>
    <row r="33" spans="1:6" ht="31.5" outlineLevel="1" x14ac:dyDescent="0.2">
      <c r="A33" s="222">
        <v>21</v>
      </c>
      <c r="B33" s="222" t="s">
        <v>392</v>
      </c>
      <c r="C33" s="87" t="s">
        <v>391</v>
      </c>
      <c r="D33" s="222" t="s">
        <v>9</v>
      </c>
      <c r="E33" s="221">
        <v>600</v>
      </c>
      <c r="F33" s="87" t="s">
        <v>592</v>
      </c>
    </row>
    <row r="34" spans="1:6" ht="31.5" outlineLevel="1" x14ac:dyDescent="0.2">
      <c r="A34" s="222">
        <v>22</v>
      </c>
      <c r="B34" s="222" t="s">
        <v>389</v>
      </c>
      <c r="C34" s="87" t="s">
        <v>390</v>
      </c>
      <c r="D34" s="222" t="s">
        <v>9</v>
      </c>
      <c r="E34" s="223">
        <v>900</v>
      </c>
      <c r="F34" s="87" t="s">
        <v>592</v>
      </c>
    </row>
    <row r="35" spans="1:6" ht="23.25" x14ac:dyDescent="0.2">
      <c r="A35" s="285" t="s">
        <v>10</v>
      </c>
      <c r="B35" s="286"/>
      <c r="C35" s="286"/>
      <c r="D35" s="286"/>
      <c r="E35" s="286"/>
      <c r="F35" s="286"/>
    </row>
    <row r="36" spans="1:6" ht="31.5" outlineLevel="1" x14ac:dyDescent="0.2">
      <c r="A36" s="222">
        <v>1</v>
      </c>
      <c r="B36" s="237"/>
      <c r="C36" s="22" t="s">
        <v>547</v>
      </c>
      <c r="D36" s="222" t="s">
        <v>9</v>
      </c>
      <c r="E36" s="223">
        <f>E13*70%</f>
        <v>700</v>
      </c>
      <c r="F36" s="87" t="s">
        <v>545</v>
      </c>
    </row>
    <row r="37" spans="1:6" ht="31.5" outlineLevel="1" x14ac:dyDescent="0.2">
      <c r="A37" s="222">
        <v>2</v>
      </c>
      <c r="B37" s="237"/>
      <c r="C37" s="87" t="s">
        <v>701</v>
      </c>
      <c r="D37" s="222" t="s">
        <v>9</v>
      </c>
      <c r="E37" s="223">
        <f>E14*70%</f>
        <v>700</v>
      </c>
      <c r="F37" s="87" t="s">
        <v>545</v>
      </c>
    </row>
    <row r="38" spans="1:6" ht="31.5" outlineLevel="1" x14ac:dyDescent="0.2">
      <c r="A38" s="222">
        <v>3</v>
      </c>
      <c r="B38" s="87" t="s">
        <v>135</v>
      </c>
      <c r="C38" s="22" t="s">
        <v>134</v>
      </c>
      <c r="D38" s="222" t="s">
        <v>9</v>
      </c>
      <c r="E38" s="223">
        <f t="shared" ref="E38:E53" si="0">E15*70%</f>
        <v>560</v>
      </c>
      <c r="F38" s="225" t="s">
        <v>134</v>
      </c>
    </row>
    <row r="39" spans="1:6" ht="31.5" outlineLevel="1" x14ac:dyDescent="0.2">
      <c r="A39" s="222">
        <v>4</v>
      </c>
      <c r="B39" s="87" t="s">
        <v>129</v>
      </c>
      <c r="C39" s="22" t="s">
        <v>128</v>
      </c>
      <c r="D39" s="222" t="s">
        <v>9</v>
      </c>
      <c r="E39" s="223">
        <f t="shared" si="0"/>
        <v>700</v>
      </c>
      <c r="F39" s="24" t="s">
        <v>128</v>
      </c>
    </row>
    <row r="40" spans="1:6" ht="31.5" outlineLevel="1" x14ac:dyDescent="0.2">
      <c r="A40" s="222">
        <v>5</v>
      </c>
      <c r="B40" s="87" t="s">
        <v>130</v>
      </c>
      <c r="C40" s="22" t="s">
        <v>131</v>
      </c>
      <c r="D40" s="222" t="s">
        <v>9</v>
      </c>
      <c r="E40" s="223">
        <f t="shared" si="0"/>
        <v>700</v>
      </c>
      <c r="F40" s="24" t="s">
        <v>131</v>
      </c>
    </row>
    <row r="41" spans="1:6" ht="31.5" outlineLevel="1" x14ac:dyDescent="0.2">
      <c r="A41" s="222">
        <v>6</v>
      </c>
      <c r="B41" s="87" t="s">
        <v>139</v>
      </c>
      <c r="C41" s="22" t="s">
        <v>138</v>
      </c>
      <c r="D41" s="222" t="s">
        <v>9</v>
      </c>
      <c r="E41" s="223">
        <f t="shared" si="0"/>
        <v>700</v>
      </c>
      <c r="F41" s="24" t="s">
        <v>138</v>
      </c>
    </row>
    <row r="42" spans="1:6" ht="31.5" outlineLevel="1" x14ac:dyDescent="0.2">
      <c r="A42" s="222">
        <v>7</v>
      </c>
      <c r="B42" s="239" t="s">
        <v>143</v>
      </c>
      <c r="C42" s="22" t="s">
        <v>142</v>
      </c>
      <c r="D42" s="222" t="s">
        <v>9</v>
      </c>
      <c r="E42" s="223">
        <f t="shared" si="0"/>
        <v>700</v>
      </c>
      <c r="F42" s="24" t="s">
        <v>142</v>
      </c>
    </row>
    <row r="43" spans="1:6" ht="31.5" outlineLevel="1" x14ac:dyDescent="0.2">
      <c r="A43" s="222">
        <v>8</v>
      </c>
      <c r="B43" s="87" t="s">
        <v>133</v>
      </c>
      <c r="C43" s="22" t="s">
        <v>132</v>
      </c>
      <c r="D43" s="222" t="s">
        <v>9</v>
      </c>
      <c r="E43" s="223">
        <f t="shared" si="0"/>
        <v>700</v>
      </c>
      <c r="F43" s="24" t="s">
        <v>132</v>
      </c>
    </row>
    <row r="44" spans="1:6" ht="31.5" outlineLevel="1" x14ac:dyDescent="0.2">
      <c r="A44" s="222">
        <v>9</v>
      </c>
      <c r="B44" s="87" t="s">
        <v>147</v>
      </c>
      <c r="C44" s="22" t="s">
        <v>146</v>
      </c>
      <c r="D44" s="222" t="s">
        <v>9</v>
      </c>
      <c r="E44" s="223">
        <f t="shared" si="0"/>
        <v>700</v>
      </c>
      <c r="F44" s="24" t="s">
        <v>146</v>
      </c>
    </row>
    <row r="45" spans="1:6" ht="47.25" outlineLevel="1" x14ac:dyDescent="0.25">
      <c r="A45" s="222">
        <v>10</v>
      </c>
      <c r="B45" s="87" t="s">
        <v>151</v>
      </c>
      <c r="C45" s="226" t="s">
        <v>499</v>
      </c>
      <c r="D45" s="222" t="s">
        <v>9</v>
      </c>
      <c r="E45" s="223">
        <f t="shared" si="0"/>
        <v>700</v>
      </c>
      <c r="F45" s="87" t="s">
        <v>707</v>
      </c>
    </row>
    <row r="46" spans="1:6" ht="31.5" outlineLevel="1" x14ac:dyDescent="0.2">
      <c r="A46" s="222">
        <v>11</v>
      </c>
      <c r="B46" s="87" t="s">
        <v>155</v>
      </c>
      <c r="C46" s="22" t="s">
        <v>154</v>
      </c>
      <c r="D46" s="222" t="s">
        <v>9</v>
      </c>
      <c r="E46" s="223">
        <f t="shared" si="0"/>
        <v>700</v>
      </c>
      <c r="F46" s="24" t="s">
        <v>154</v>
      </c>
    </row>
    <row r="47" spans="1:6" ht="31.5" outlineLevel="1" x14ac:dyDescent="0.2">
      <c r="A47" s="222">
        <v>12</v>
      </c>
      <c r="B47" s="239" t="s">
        <v>471</v>
      </c>
      <c r="C47" s="22" t="s">
        <v>470</v>
      </c>
      <c r="D47" s="222" t="s">
        <v>9</v>
      </c>
      <c r="E47" s="223">
        <f t="shared" si="0"/>
        <v>700</v>
      </c>
      <c r="F47" s="24" t="s">
        <v>465</v>
      </c>
    </row>
    <row r="48" spans="1:6" ht="31.5" outlineLevel="1" x14ac:dyDescent="0.2">
      <c r="A48" s="222">
        <v>13</v>
      </c>
      <c r="B48" s="87" t="s">
        <v>161</v>
      </c>
      <c r="C48" s="22" t="s">
        <v>160</v>
      </c>
      <c r="D48" s="222" t="s">
        <v>9</v>
      </c>
      <c r="E48" s="223">
        <f t="shared" si="0"/>
        <v>700</v>
      </c>
      <c r="F48" s="24" t="s">
        <v>160</v>
      </c>
    </row>
    <row r="49" spans="1:15" ht="31.5" outlineLevel="1" x14ac:dyDescent="0.2">
      <c r="A49" s="222">
        <v>14</v>
      </c>
      <c r="B49" s="87" t="s">
        <v>159</v>
      </c>
      <c r="C49" s="22" t="s">
        <v>158</v>
      </c>
      <c r="D49" s="222" t="s">
        <v>9</v>
      </c>
      <c r="E49" s="223">
        <f t="shared" si="0"/>
        <v>560</v>
      </c>
      <c r="F49" s="24" t="s">
        <v>158</v>
      </c>
    </row>
    <row r="50" spans="1:15" ht="47.25" outlineLevel="1" x14ac:dyDescent="0.2">
      <c r="A50" s="222">
        <v>15</v>
      </c>
      <c r="B50" s="87"/>
      <c r="C50" s="22" t="s">
        <v>162</v>
      </c>
      <c r="D50" s="222" t="s">
        <v>9</v>
      </c>
      <c r="E50" s="223">
        <f t="shared" si="0"/>
        <v>560</v>
      </c>
      <c r="F50" s="24" t="s">
        <v>708</v>
      </c>
    </row>
    <row r="51" spans="1:15" ht="31.5" outlineLevel="1" x14ac:dyDescent="0.2">
      <c r="A51" s="222">
        <v>16</v>
      </c>
      <c r="B51" s="87"/>
      <c r="C51" s="22" t="s">
        <v>709</v>
      </c>
      <c r="D51" s="222" t="s">
        <v>9</v>
      </c>
      <c r="E51" s="223">
        <f t="shared" si="0"/>
        <v>560</v>
      </c>
      <c r="F51" s="24" t="s">
        <v>709</v>
      </c>
    </row>
    <row r="52" spans="1:15" ht="31.5" outlineLevel="1" x14ac:dyDescent="0.2">
      <c r="A52" s="222">
        <v>17</v>
      </c>
      <c r="B52" s="87" t="s">
        <v>169</v>
      </c>
      <c r="C52" s="22" t="s">
        <v>168</v>
      </c>
      <c r="D52" s="222" t="s">
        <v>9</v>
      </c>
      <c r="E52" s="223">
        <f t="shared" si="0"/>
        <v>560</v>
      </c>
      <c r="F52" s="24" t="s">
        <v>168</v>
      </c>
    </row>
    <row r="53" spans="1:15" ht="31.5" outlineLevel="1" x14ac:dyDescent="0.2">
      <c r="A53" s="222">
        <v>18</v>
      </c>
      <c r="B53" s="87" t="s">
        <v>504</v>
      </c>
      <c r="C53" s="22" t="s">
        <v>496</v>
      </c>
      <c r="D53" s="222" t="s">
        <v>9</v>
      </c>
      <c r="E53" s="223">
        <f t="shared" si="0"/>
        <v>700</v>
      </c>
      <c r="F53" s="22" t="s">
        <v>496</v>
      </c>
      <c r="O53" s="222"/>
    </row>
    <row r="54" spans="1:15" ht="31.5" outlineLevel="1" x14ac:dyDescent="0.2">
      <c r="A54" s="222">
        <v>19</v>
      </c>
      <c r="B54" s="87"/>
      <c r="C54" s="22" t="s">
        <v>520</v>
      </c>
      <c r="D54" s="222" t="s">
        <v>9</v>
      </c>
      <c r="E54" s="223">
        <f>E30*70%</f>
        <v>700</v>
      </c>
      <c r="F54" s="22" t="s">
        <v>520</v>
      </c>
    </row>
    <row r="55" spans="1:15" ht="31.5" outlineLevel="1" x14ac:dyDescent="0.2">
      <c r="A55" s="222">
        <v>20</v>
      </c>
      <c r="B55" s="87"/>
      <c r="C55" s="87" t="s">
        <v>755</v>
      </c>
      <c r="D55" s="222" t="s">
        <v>9</v>
      </c>
      <c r="E55" s="223">
        <f>E31*70%</f>
        <v>700</v>
      </c>
      <c r="F55" s="87" t="s">
        <v>755</v>
      </c>
    </row>
    <row r="56" spans="1:15" ht="23.25" x14ac:dyDescent="0.2">
      <c r="A56" s="299" t="s">
        <v>11</v>
      </c>
      <c r="B56" s="300"/>
      <c r="C56" s="300"/>
      <c r="D56" s="300"/>
      <c r="E56" s="300"/>
      <c r="F56" s="300"/>
    </row>
    <row r="57" spans="1:15" outlineLevel="1" x14ac:dyDescent="0.2">
      <c r="A57" s="240">
        <v>1</v>
      </c>
      <c r="B57" s="240" t="s">
        <v>171</v>
      </c>
      <c r="C57" s="241" t="s">
        <v>274</v>
      </c>
      <c r="D57" s="222" t="s">
        <v>12</v>
      </c>
      <c r="E57" s="223">
        <v>350</v>
      </c>
      <c r="F57" s="220" t="s">
        <v>275</v>
      </c>
    </row>
    <row r="58" spans="1:15" outlineLevel="1" x14ac:dyDescent="0.2">
      <c r="A58" s="240">
        <v>2</v>
      </c>
      <c r="B58" s="240" t="s">
        <v>276</v>
      </c>
      <c r="C58" s="220" t="s">
        <v>191</v>
      </c>
      <c r="D58" s="222" t="s">
        <v>12</v>
      </c>
      <c r="E58" s="223">
        <v>240</v>
      </c>
      <c r="F58" s="241" t="s">
        <v>191</v>
      </c>
    </row>
    <row r="59" spans="1:15" outlineLevel="1" x14ac:dyDescent="0.2">
      <c r="A59" s="240">
        <v>3</v>
      </c>
      <c r="B59" s="240" t="s">
        <v>277</v>
      </c>
      <c r="C59" s="241" t="s">
        <v>279</v>
      </c>
      <c r="D59" s="222" t="s">
        <v>12</v>
      </c>
      <c r="E59" s="223">
        <v>130</v>
      </c>
      <c r="F59" s="87" t="s">
        <v>724</v>
      </c>
    </row>
    <row r="60" spans="1:15" ht="31.5" outlineLevel="1" x14ac:dyDescent="0.2">
      <c r="A60" s="240">
        <v>4</v>
      </c>
      <c r="B60" s="240" t="s">
        <v>276</v>
      </c>
      <c r="C60" s="241" t="s">
        <v>281</v>
      </c>
      <c r="D60" s="222" t="s">
        <v>12</v>
      </c>
      <c r="E60" s="223">
        <v>250</v>
      </c>
      <c r="F60" s="220" t="s">
        <v>278</v>
      </c>
    </row>
    <row r="61" spans="1:15" outlineLevel="1" x14ac:dyDescent="0.2">
      <c r="A61" s="240">
        <v>5</v>
      </c>
      <c r="B61" s="240" t="s">
        <v>593</v>
      </c>
      <c r="C61" s="220" t="s">
        <v>553</v>
      </c>
      <c r="D61" s="222" t="s">
        <v>12</v>
      </c>
      <c r="E61" s="223">
        <v>280</v>
      </c>
      <c r="F61" s="241" t="s">
        <v>198</v>
      </c>
    </row>
    <row r="62" spans="1:15" outlineLevel="1" x14ac:dyDescent="0.2">
      <c r="A62" s="240">
        <v>6</v>
      </c>
      <c r="B62" s="222" t="s">
        <v>594</v>
      </c>
      <c r="C62" s="241" t="s">
        <v>284</v>
      </c>
      <c r="D62" s="222" t="s">
        <v>12</v>
      </c>
      <c r="E62" s="223">
        <v>220</v>
      </c>
      <c r="F62" s="220" t="s">
        <v>283</v>
      </c>
    </row>
    <row r="63" spans="1:15" outlineLevel="1" x14ac:dyDescent="0.2">
      <c r="A63" s="240">
        <v>7</v>
      </c>
      <c r="B63" s="222" t="s">
        <v>595</v>
      </c>
      <c r="C63" s="241" t="s">
        <v>451</v>
      </c>
      <c r="D63" s="222" t="s">
        <v>12</v>
      </c>
      <c r="E63" s="223">
        <v>220</v>
      </c>
      <c r="F63" s="220" t="s">
        <v>285</v>
      </c>
    </row>
    <row r="64" spans="1:15" outlineLevel="1" x14ac:dyDescent="0.2">
      <c r="A64" s="240">
        <v>8</v>
      </c>
      <c r="B64" s="240" t="s">
        <v>596</v>
      </c>
      <c r="C64" s="220" t="s">
        <v>287</v>
      </c>
      <c r="D64" s="222" t="s">
        <v>12</v>
      </c>
      <c r="E64" s="223">
        <v>250</v>
      </c>
      <c r="F64" s="241" t="s">
        <v>452</v>
      </c>
    </row>
    <row r="65" spans="1:6" ht="31.5" outlineLevel="1" x14ac:dyDescent="0.2">
      <c r="A65" s="240">
        <v>9</v>
      </c>
      <c r="B65" s="240" t="s">
        <v>597</v>
      </c>
      <c r="C65" s="220" t="s">
        <v>746</v>
      </c>
      <c r="D65" s="222" t="s">
        <v>12</v>
      </c>
      <c r="E65" s="223">
        <v>280</v>
      </c>
      <c r="F65" s="241" t="s">
        <v>745</v>
      </c>
    </row>
    <row r="66" spans="1:6" outlineLevel="1" x14ac:dyDescent="0.2">
      <c r="A66" s="240">
        <v>10</v>
      </c>
      <c r="B66" s="240" t="s">
        <v>598</v>
      </c>
      <c r="C66" s="220" t="s">
        <v>293</v>
      </c>
      <c r="D66" s="222" t="s">
        <v>12</v>
      </c>
      <c r="E66" s="223">
        <v>280</v>
      </c>
      <c r="F66" s="241" t="s">
        <v>292</v>
      </c>
    </row>
    <row r="67" spans="1:6" outlineLevel="1" x14ac:dyDescent="0.2">
      <c r="A67" s="240">
        <v>11</v>
      </c>
      <c r="B67" s="240"/>
      <c r="C67" s="242" t="s">
        <v>586</v>
      </c>
      <c r="D67" s="222" t="s">
        <v>12</v>
      </c>
      <c r="E67" s="243">
        <v>350</v>
      </c>
      <c r="F67" s="241" t="s">
        <v>586</v>
      </c>
    </row>
    <row r="68" spans="1:6" outlineLevel="1" x14ac:dyDescent="0.2">
      <c r="A68" s="240">
        <v>12</v>
      </c>
      <c r="B68" s="240"/>
      <c r="C68" s="242" t="s">
        <v>588</v>
      </c>
      <c r="D68" s="222" t="s">
        <v>12</v>
      </c>
      <c r="E68" s="243">
        <v>350</v>
      </c>
      <c r="F68" s="241" t="s">
        <v>587</v>
      </c>
    </row>
    <row r="69" spans="1:6" outlineLevel="1" x14ac:dyDescent="0.2">
      <c r="A69" s="240">
        <v>13</v>
      </c>
      <c r="B69" s="240"/>
      <c r="C69" s="242" t="s">
        <v>589</v>
      </c>
      <c r="D69" s="222" t="s">
        <v>12</v>
      </c>
      <c r="E69" s="243">
        <v>350</v>
      </c>
      <c r="F69" s="241" t="s">
        <v>590</v>
      </c>
    </row>
    <row r="70" spans="1:6" outlineLevel="1" x14ac:dyDescent="0.2">
      <c r="A70" s="240">
        <v>14</v>
      </c>
      <c r="B70" s="240" t="s">
        <v>294</v>
      </c>
      <c r="C70" s="220" t="s">
        <v>295</v>
      </c>
      <c r="D70" s="222" t="s">
        <v>12</v>
      </c>
      <c r="E70" s="223">
        <v>350</v>
      </c>
      <c r="F70" s="241" t="s">
        <v>554</v>
      </c>
    </row>
    <row r="71" spans="1:6" outlineLevel="1" x14ac:dyDescent="0.2">
      <c r="A71" s="240">
        <v>15</v>
      </c>
      <c r="B71" s="240" t="s">
        <v>297</v>
      </c>
      <c r="C71" s="220" t="s">
        <v>747</v>
      </c>
      <c r="D71" s="222" t="s">
        <v>12</v>
      </c>
      <c r="E71" s="223">
        <v>280</v>
      </c>
      <c r="F71" s="241" t="s">
        <v>748</v>
      </c>
    </row>
    <row r="72" spans="1:6" outlineLevel="1" x14ac:dyDescent="0.2">
      <c r="A72" s="240">
        <v>16</v>
      </c>
      <c r="B72" s="240" t="s">
        <v>599</v>
      </c>
      <c r="C72" s="220" t="s">
        <v>749</v>
      </c>
      <c r="D72" s="222" t="s">
        <v>12</v>
      </c>
      <c r="E72" s="223">
        <v>170</v>
      </c>
      <c r="F72" s="241" t="s">
        <v>200</v>
      </c>
    </row>
    <row r="73" spans="1:6" outlineLevel="1" x14ac:dyDescent="0.2">
      <c r="A73" s="240">
        <v>17</v>
      </c>
      <c r="B73" s="240" t="s">
        <v>600</v>
      </c>
      <c r="C73" s="220" t="s">
        <v>202</v>
      </c>
      <c r="D73" s="222" t="s">
        <v>12</v>
      </c>
      <c r="E73" s="223">
        <v>240</v>
      </c>
      <c r="F73" s="241" t="s">
        <v>202</v>
      </c>
    </row>
    <row r="74" spans="1:6" outlineLevel="1" x14ac:dyDescent="0.2">
      <c r="A74" s="240">
        <v>18</v>
      </c>
      <c r="B74" s="240" t="s">
        <v>601</v>
      </c>
      <c r="C74" s="241" t="s">
        <v>204</v>
      </c>
      <c r="D74" s="222" t="s">
        <v>12</v>
      </c>
      <c r="E74" s="223">
        <v>350</v>
      </c>
      <c r="F74" s="241" t="s">
        <v>204</v>
      </c>
    </row>
    <row r="75" spans="1:6" ht="94.5" outlineLevel="1" x14ac:dyDescent="0.2">
      <c r="A75" s="240">
        <v>19</v>
      </c>
      <c r="B75" s="240"/>
      <c r="C75" s="220" t="s">
        <v>486</v>
      </c>
      <c r="D75" s="222" t="s">
        <v>12</v>
      </c>
      <c r="E75" s="223">
        <v>350</v>
      </c>
      <c r="F75" s="241" t="s">
        <v>487</v>
      </c>
    </row>
    <row r="76" spans="1:6" outlineLevel="1" x14ac:dyDescent="0.2">
      <c r="A76" s="240">
        <v>20</v>
      </c>
      <c r="B76" s="240" t="s">
        <v>602</v>
      </c>
      <c r="C76" s="220" t="s">
        <v>206</v>
      </c>
      <c r="D76" s="222" t="s">
        <v>12</v>
      </c>
      <c r="E76" s="223">
        <v>120</v>
      </c>
      <c r="F76" s="241" t="s">
        <v>206</v>
      </c>
    </row>
    <row r="77" spans="1:6" outlineLevel="1" x14ac:dyDescent="0.2">
      <c r="A77" s="240">
        <v>21</v>
      </c>
      <c r="B77" s="240" t="s">
        <v>603</v>
      </c>
      <c r="C77" s="241" t="s">
        <v>304</v>
      </c>
      <c r="D77" s="222" t="s">
        <v>12</v>
      </c>
      <c r="E77" s="223">
        <v>170</v>
      </c>
      <c r="F77" s="220" t="s">
        <v>394</v>
      </c>
    </row>
    <row r="78" spans="1:6" outlineLevel="1" x14ac:dyDescent="0.2">
      <c r="A78" s="240">
        <v>22</v>
      </c>
      <c r="B78" s="240" t="s">
        <v>604</v>
      </c>
      <c r="C78" s="241" t="s">
        <v>302</v>
      </c>
      <c r="D78" s="222" t="s">
        <v>12</v>
      </c>
      <c r="E78" s="223">
        <v>170</v>
      </c>
      <c r="F78" s="220" t="s">
        <v>300</v>
      </c>
    </row>
    <row r="79" spans="1:6" outlineLevel="1" x14ac:dyDescent="0.2">
      <c r="A79" s="240">
        <v>23</v>
      </c>
      <c r="B79" s="240" t="s">
        <v>605</v>
      </c>
      <c r="C79" s="220" t="s">
        <v>303</v>
      </c>
      <c r="D79" s="222" t="s">
        <v>12</v>
      </c>
      <c r="E79" s="223">
        <v>120</v>
      </c>
      <c r="F79" s="220" t="s">
        <v>305</v>
      </c>
    </row>
    <row r="80" spans="1:6" ht="31.5" customHeight="1" outlineLevel="1" x14ac:dyDescent="0.2">
      <c r="A80" s="240">
        <v>24</v>
      </c>
      <c r="B80" s="240" t="s">
        <v>606</v>
      </c>
      <c r="C80" s="220" t="s">
        <v>308</v>
      </c>
      <c r="D80" s="222" t="s">
        <v>12</v>
      </c>
      <c r="E80" s="223">
        <v>500</v>
      </c>
      <c r="F80" s="220" t="s">
        <v>306</v>
      </c>
    </row>
    <row r="81" spans="1:6" ht="31.5" customHeight="1" outlineLevel="1" x14ac:dyDescent="0.2">
      <c r="A81" s="240">
        <v>25</v>
      </c>
      <c r="B81" s="240" t="s">
        <v>606</v>
      </c>
      <c r="C81" s="220" t="s">
        <v>309</v>
      </c>
      <c r="D81" s="222" t="s">
        <v>12</v>
      </c>
      <c r="E81" s="223">
        <v>600</v>
      </c>
      <c r="F81" s="220" t="s">
        <v>307</v>
      </c>
    </row>
    <row r="82" spans="1:6" outlineLevel="1" x14ac:dyDescent="0.2">
      <c r="A82" s="240">
        <v>26</v>
      </c>
      <c r="B82" s="240" t="s">
        <v>607</v>
      </c>
      <c r="C82" s="220" t="s">
        <v>210</v>
      </c>
      <c r="D82" s="222" t="s">
        <v>12</v>
      </c>
      <c r="E82" s="223">
        <v>300</v>
      </c>
      <c r="F82" s="220" t="s">
        <v>210</v>
      </c>
    </row>
    <row r="83" spans="1:6" outlineLevel="1" x14ac:dyDescent="0.2">
      <c r="A83" s="240">
        <v>27</v>
      </c>
      <c r="B83" s="282" t="s">
        <v>608</v>
      </c>
      <c r="C83" s="292" t="s">
        <v>310</v>
      </c>
      <c r="D83" s="222" t="s">
        <v>15</v>
      </c>
      <c r="E83" s="223">
        <v>800</v>
      </c>
      <c r="F83" s="292" t="s">
        <v>211</v>
      </c>
    </row>
    <row r="84" spans="1:6" outlineLevel="1" x14ac:dyDescent="0.2">
      <c r="A84" s="240">
        <v>28</v>
      </c>
      <c r="B84" s="284"/>
      <c r="C84" s="297"/>
      <c r="D84" s="222" t="s">
        <v>16</v>
      </c>
      <c r="E84" s="223">
        <v>1000</v>
      </c>
      <c r="F84" s="297"/>
    </row>
    <row r="85" spans="1:6" ht="47.25" outlineLevel="1" x14ac:dyDescent="0.2">
      <c r="A85" s="240">
        <v>29</v>
      </c>
      <c r="B85" s="240" t="s">
        <v>609</v>
      </c>
      <c r="C85" s="220" t="s">
        <v>759</v>
      </c>
      <c r="D85" s="222" t="s">
        <v>12</v>
      </c>
      <c r="E85" s="223">
        <v>900</v>
      </c>
      <c r="F85" s="220" t="s">
        <v>215</v>
      </c>
    </row>
    <row r="86" spans="1:6" ht="47.25" outlineLevel="1" x14ac:dyDescent="0.2">
      <c r="A86" s="240">
        <v>30</v>
      </c>
      <c r="B86" s="240" t="s">
        <v>609</v>
      </c>
      <c r="C86" s="220" t="s">
        <v>760</v>
      </c>
      <c r="D86" s="222" t="s">
        <v>12</v>
      </c>
      <c r="E86" s="223">
        <v>1100</v>
      </c>
      <c r="F86" s="220" t="s">
        <v>216</v>
      </c>
    </row>
    <row r="87" spans="1:6" ht="31.5" outlineLevel="1" x14ac:dyDescent="0.25">
      <c r="A87" s="240">
        <v>31</v>
      </c>
      <c r="B87" s="240" t="s">
        <v>323</v>
      </c>
      <c r="C87" s="220" t="s">
        <v>313</v>
      </c>
      <c r="D87" s="222" t="s">
        <v>12</v>
      </c>
      <c r="E87" s="223">
        <v>600</v>
      </c>
      <c r="F87" s="244" t="s">
        <v>324</v>
      </c>
    </row>
    <row r="88" spans="1:6" ht="47.25" outlineLevel="1" x14ac:dyDescent="0.2">
      <c r="A88" s="240">
        <v>32</v>
      </c>
      <c r="B88" s="222" t="s">
        <v>325</v>
      </c>
      <c r="C88" s="87" t="s">
        <v>326</v>
      </c>
      <c r="D88" s="222" t="s">
        <v>12</v>
      </c>
      <c r="E88" s="223">
        <v>350</v>
      </c>
      <c r="F88" s="87" t="s">
        <v>453</v>
      </c>
    </row>
    <row r="89" spans="1:6" outlineLevel="1" x14ac:dyDescent="0.2">
      <c r="A89" s="240">
        <v>33</v>
      </c>
      <c r="B89" s="222"/>
      <c r="C89" s="87" t="s">
        <v>710</v>
      </c>
      <c r="D89" s="222" t="s">
        <v>12</v>
      </c>
      <c r="E89" s="223">
        <v>500</v>
      </c>
      <c r="F89" s="87" t="s">
        <v>719</v>
      </c>
    </row>
    <row r="90" spans="1:6" outlineLevel="1" x14ac:dyDescent="0.2">
      <c r="A90" s="240">
        <v>34</v>
      </c>
      <c r="B90" s="222"/>
      <c r="C90" s="87" t="s">
        <v>711</v>
      </c>
      <c r="D90" s="222" t="s">
        <v>12</v>
      </c>
      <c r="E90" s="223">
        <v>500</v>
      </c>
      <c r="F90" s="87" t="s">
        <v>722</v>
      </c>
    </row>
    <row r="91" spans="1:6" outlineLevel="1" x14ac:dyDescent="0.2">
      <c r="A91" s="240">
        <v>35</v>
      </c>
      <c r="B91" s="222"/>
      <c r="C91" s="87" t="s">
        <v>712</v>
      </c>
      <c r="D91" s="222" t="s">
        <v>12</v>
      </c>
      <c r="E91" s="223">
        <v>400</v>
      </c>
      <c r="F91" s="87" t="s">
        <v>720</v>
      </c>
    </row>
    <row r="92" spans="1:6" outlineLevel="1" x14ac:dyDescent="0.2">
      <c r="A92" s="240">
        <v>36</v>
      </c>
      <c r="B92" s="222"/>
      <c r="C92" s="87" t="s">
        <v>713</v>
      </c>
      <c r="D92" s="222" t="s">
        <v>12</v>
      </c>
      <c r="E92" s="223">
        <v>500</v>
      </c>
      <c r="F92" s="87" t="s">
        <v>721</v>
      </c>
    </row>
    <row r="93" spans="1:6" ht="47.25" outlineLevel="1" x14ac:dyDescent="0.2">
      <c r="A93" s="240">
        <v>37</v>
      </c>
      <c r="B93" s="222" t="s">
        <v>610</v>
      </c>
      <c r="C93" s="87" t="s">
        <v>518</v>
      </c>
      <c r="D93" s="222" t="s">
        <v>12</v>
      </c>
      <c r="E93" s="223">
        <v>1600</v>
      </c>
      <c r="F93" s="87" t="s">
        <v>418</v>
      </c>
    </row>
    <row r="94" spans="1:6" ht="63" outlineLevel="1" x14ac:dyDescent="0.2">
      <c r="A94" s="240">
        <v>38</v>
      </c>
      <c r="B94" s="222" t="s">
        <v>610</v>
      </c>
      <c r="C94" s="87" t="s">
        <v>725</v>
      </c>
      <c r="D94" s="222" t="s">
        <v>12</v>
      </c>
      <c r="E94" s="223">
        <v>2000</v>
      </c>
      <c r="F94" s="87" t="s">
        <v>418</v>
      </c>
    </row>
    <row r="95" spans="1:6" outlineLevel="1" x14ac:dyDescent="0.2">
      <c r="A95" s="222"/>
      <c r="B95" s="279" t="s">
        <v>442</v>
      </c>
      <c r="C95" s="280"/>
      <c r="D95" s="280"/>
      <c r="E95" s="281"/>
      <c r="F95" s="87"/>
    </row>
    <row r="96" spans="1:6" ht="31.5" outlineLevel="1" x14ac:dyDescent="0.2">
      <c r="A96" s="240">
        <v>39</v>
      </c>
      <c r="B96" s="240" t="s">
        <v>439</v>
      </c>
      <c r="C96" s="220" t="s">
        <v>750</v>
      </c>
      <c r="D96" s="222" t="s">
        <v>556</v>
      </c>
      <c r="E96" s="223">
        <v>900</v>
      </c>
      <c r="F96" s="220" t="s">
        <v>440</v>
      </c>
    </row>
    <row r="97" spans="1:6" ht="31.5" outlineLevel="1" x14ac:dyDescent="0.2">
      <c r="A97" s="240">
        <v>40</v>
      </c>
      <c r="B97" s="240" t="s">
        <v>439</v>
      </c>
      <c r="C97" s="220" t="s">
        <v>750</v>
      </c>
      <c r="D97" s="222" t="s">
        <v>559</v>
      </c>
      <c r="E97" s="223">
        <v>700</v>
      </c>
      <c r="F97" s="220" t="s">
        <v>440</v>
      </c>
    </row>
    <row r="98" spans="1:6" ht="31.5" outlineLevel="1" x14ac:dyDescent="0.2">
      <c r="A98" s="240">
        <v>41</v>
      </c>
      <c r="B98" s="240"/>
      <c r="C98" s="220" t="s">
        <v>757</v>
      </c>
      <c r="D98" s="222" t="s">
        <v>758</v>
      </c>
      <c r="E98" s="223">
        <v>2500</v>
      </c>
      <c r="F98" s="220" t="s">
        <v>757</v>
      </c>
    </row>
    <row r="99" spans="1:6" ht="47.25" outlineLevel="1" x14ac:dyDescent="0.2">
      <c r="A99" s="240">
        <v>42</v>
      </c>
      <c r="B99" s="240" t="s">
        <v>611</v>
      </c>
      <c r="C99" s="220" t="s">
        <v>693</v>
      </c>
      <c r="D99" s="222" t="s">
        <v>756</v>
      </c>
      <c r="E99" s="223">
        <v>750</v>
      </c>
      <c r="F99" s="245" t="s">
        <v>612</v>
      </c>
    </row>
    <row r="100" spans="1:6" ht="47.25" outlineLevel="1" x14ac:dyDescent="0.2">
      <c r="A100" s="240">
        <v>43</v>
      </c>
      <c r="B100" s="240" t="s">
        <v>611</v>
      </c>
      <c r="C100" s="220" t="s">
        <v>692</v>
      </c>
      <c r="D100" s="222" t="s">
        <v>756</v>
      </c>
      <c r="E100" s="223">
        <v>370</v>
      </c>
      <c r="F100" s="245" t="s">
        <v>612</v>
      </c>
    </row>
    <row r="101" spans="1:6" outlineLevel="1" x14ac:dyDescent="0.2">
      <c r="A101" s="240">
        <v>44</v>
      </c>
      <c r="B101" s="222"/>
      <c r="C101" s="87" t="s">
        <v>694</v>
      </c>
      <c r="D101" s="222" t="s">
        <v>12</v>
      </c>
      <c r="E101" s="223">
        <v>700</v>
      </c>
      <c r="F101" s="294" t="s">
        <v>699</v>
      </c>
    </row>
    <row r="102" spans="1:6" outlineLevel="1" x14ac:dyDescent="0.2">
      <c r="A102" s="240">
        <v>45</v>
      </c>
      <c r="B102" s="222"/>
      <c r="C102" s="87" t="s">
        <v>695</v>
      </c>
      <c r="D102" s="222" t="s">
        <v>12</v>
      </c>
      <c r="E102" s="223">
        <v>500</v>
      </c>
      <c r="F102" s="295"/>
    </row>
    <row r="103" spans="1:6" outlineLevel="1" x14ac:dyDescent="0.2">
      <c r="A103" s="240">
        <v>46</v>
      </c>
      <c r="B103" s="222"/>
      <c r="C103" s="87" t="s">
        <v>696</v>
      </c>
      <c r="D103" s="222" t="s">
        <v>12</v>
      </c>
      <c r="E103" s="223">
        <v>500</v>
      </c>
      <c r="F103" s="295"/>
    </row>
    <row r="104" spans="1:6" ht="31.5" outlineLevel="1" x14ac:dyDescent="0.2">
      <c r="A104" s="240">
        <v>47</v>
      </c>
      <c r="B104" s="222"/>
      <c r="C104" s="87" t="s">
        <v>697</v>
      </c>
      <c r="D104" s="222" t="s">
        <v>12</v>
      </c>
      <c r="E104" s="223">
        <v>1000</v>
      </c>
      <c r="F104" s="295"/>
    </row>
    <row r="105" spans="1:6" ht="31.5" outlineLevel="1" x14ac:dyDescent="0.2">
      <c r="A105" s="240">
        <v>48</v>
      </c>
      <c r="B105" s="222"/>
      <c r="C105" s="87" t="s">
        <v>698</v>
      </c>
      <c r="D105" s="222" t="s">
        <v>12</v>
      </c>
      <c r="E105" s="223">
        <v>1000</v>
      </c>
      <c r="F105" s="296"/>
    </row>
    <row r="106" spans="1:6" ht="31.5" customHeight="1" outlineLevel="1" x14ac:dyDescent="0.2">
      <c r="A106" s="240">
        <v>49</v>
      </c>
      <c r="B106" s="240"/>
      <c r="C106" s="220" t="s">
        <v>577</v>
      </c>
      <c r="D106" s="222" t="s">
        <v>12</v>
      </c>
      <c r="E106" s="223">
        <v>1100</v>
      </c>
      <c r="F106" s="220" t="s">
        <v>582</v>
      </c>
    </row>
    <row r="107" spans="1:6" outlineLevel="1" x14ac:dyDescent="0.2">
      <c r="A107" s="275">
        <v>50</v>
      </c>
      <c r="B107" s="22"/>
      <c r="C107" s="87" t="s">
        <v>579</v>
      </c>
      <c r="D107" s="222" t="s">
        <v>12</v>
      </c>
      <c r="E107" s="223">
        <v>1000</v>
      </c>
      <c r="F107" s="87" t="s">
        <v>727</v>
      </c>
    </row>
    <row r="108" spans="1:6" ht="31.5" outlineLevel="1" x14ac:dyDescent="0.2">
      <c r="A108" s="275">
        <v>51</v>
      </c>
      <c r="B108" s="22"/>
      <c r="C108" s="87" t="s">
        <v>580</v>
      </c>
      <c r="D108" s="222" t="s">
        <v>12</v>
      </c>
      <c r="E108" s="223">
        <v>1000</v>
      </c>
      <c r="F108" s="87" t="s">
        <v>726</v>
      </c>
    </row>
    <row r="109" spans="1:6" ht="23.25" x14ac:dyDescent="0.2">
      <c r="A109" s="285" t="s">
        <v>613</v>
      </c>
      <c r="B109" s="286"/>
      <c r="C109" s="286"/>
      <c r="D109" s="286"/>
      <c r="E109" s="286"/>
      <c r="F109" s="287"/>
    </row>
    <row r="110" spans="1:6" ht="31.5" outlineLevel="1" x14ac:dyDescent="0.2">
      <c r="A110" s="240">
        <v>1</v>
      </c>
      <c r="B110" s="240" t="s">
        <v>614</v>
      </c>
      <c r="C110" s="220" t="s">
        <v>615</v>
      </c>
      <c r="D110" s="222" t="s">
        <v>12</v>
      </c>
      <c r="E110" s="223">
        <v>1600</v>
      </c>
      <c r="F110" s="220" t="s">
        <v>316</v>
      </c>
    </row>
    <row r="111" spans="1:6" ht="31.5" outlineLevel="1" x14ac:dyDescent="0.2">
      <c r="A111" s="240">
        <v>2</v>
      </c>
      <c r="B111" s="240" t="s">
        <v>616</v>
      </c>
      <c r="C111" s="220" t="s">
        <v>617</v>
      </c>
      <c r="D111" s="222" t="s">
        <v>12</v>
      </c>
      <c r="E111" s="223">
        <v>400</v>
      </c>
      <c r="F111" s="220" t="s">
        <v>263</v>
      </c>
    </row>
    <row r="112" spans="1:6" ht="31.5" outlineLevel="1" x14ac:dyDescent="0.2">
      <c r="A112" s="240">
        <v>3</v>
      </c>
      <c r="B112" s="240" t="s">
        <v>618</v>
      </c>
      <c r="C112" s="220" t="s">
        <v>570</v>
      </c>
      <c r="D112" s="222" t="s">
        <v>12</v>
      </c>
      <c r="E112" s="223">
        <v>400</v>
      </c>
      <c r="F112" s="220" t="s">
        <v>265</v>
      </c>
    </row>
    <row r="113" spans="1:6" ht="47.25" outlineLevel="1" x14ac:dyDescent="0.2">
      <c r="A113" s="246">
        <v>4</v>
      </c>
      <c r="B113" s="240" t="s">
        <v>619</v>
      </c>
      <c r="C113" s="220" t="s">
        <v>571</v>
      </c>
      <c r="D113" s="222" t="s">
        <v>12</v>
      </c>
      <c r="E113" s="223">
        <v>400</v>
      </c>
      <c r="F113" s="220" t="s">
        <v>268</v>
      </c>
    </row>
    <row r="114" spans="1:6" ht="31.5" outlineLevel="1" x14ac:dyDescent="0.2">
      <c r="A114" s="240">
        <v>5</v>
      </c>
      <c r="B114" s="240" t="s">
        <v>620</v>
      </c>
      <c r="C114" s="220" t="s">
        <v>572</v>
      </c>
      <c r="D114" s="222" t="s">
        <v>12</v>
      </c>
      <c r="E114" s="223">
        <v>900</v>
      </c>
      <c r="F114" s="220" t="s">
        <v>270</v>
      </c>
    </row>
    <row r="115" spans="1:6" ht="31.5" outlineLevel="1" x14ac:dyDescent="0.2">
      <c r="A115" s="222">
        <v>6</v>
      </c>
      <c r="B115" s="222" t="s">
        <v>621</v>
      </c>
      <c r="C115" s="87" t="s">
        <v>573</v>
      </c>
      <c r="D115" s="222" t="s">
        <v>12</v>
      </c>
      <c r="E115" s="223">
        <v>460</v>
      </c>
      <c r="F115" s="220" t="s">
        <v>271</v>
      </c>
    </row>
    <row r="116" spans="1:6" ht="31.5" outlineLevel="1" x14ac:dyDescent="0.2">
      <c r="A116" s="222">
        <v>8</v>
      </c>
      <c r="B116" s="22"/>
      <c r="C116" s="22" t="s">
        <v>714</v>
      </c>
      <c r="D116" s="222" t="s">
        <v>12</v>
      </c>
      <c r="E116" s="223">
        <v>1000</v>
      </c>
      <c r="F116" s="247" t="s">
        <v>677</v>
      </c>
    </row>
    <row r="117" spans="1:6" ht="63" outlineLevel="1" x14ac:dyDescent="0.2">
      <c r="A117" s="248">
        <v>8.5714285714285694</v>
      </c>
      <c r="B117" s="249"/>
      <c r="C117" s="250" t="s">
        <v>718</v>
      </c>
      <c r="D117" s="222" t="s">
        <v>12</v>
      </c>
      <c r="E117" s="223">
        <v>800</v>
      </c>
      <c r="F117" s="22" t="s">
        <v>678</v>
      </c>
    </row>
    <row r="118" spans="1:6" outlineLevel="1" x14ac:dyDescent="0.2">
      <c r="A118" s="248">
        <v>9.6785714285714199</v>
      </c>
      <c r="B118" s="249"/>
      <c r="C118" s="250" t="s">
        <v>728</v>
      </c>
      <c r="D118" s="222" t="s">
        <v>12</v>
      </c>
      <c r="E118" s="223">
        <v>300</v>
      </c>
      <c r="F118" s="251"/>
    </row>
    <row r="119" spans="1:6" ht="63" outlineLevel="1" x14ac:dyDescent="0.2">
      <c r="A119" s="248">
        <v>10.785714285714301</v>
      </c>
      <c r="B119" s="249"/>
      <c r="C119" s="250" t="s">
        <v>679</v>
      </c>
      <c r="D119" s="222" t="s">
        <v>12</v>
      </c>
      <c r="E119" s="223">
        <v>18</v>
      </c>
      <c r="F119" s="250" t="s">
        <v>680</v>
      </c>
    </row>
    <row r="120" spans="1:6" ht="31.5" outlineLevel="1" x14ac:dyDescent="0.2">
      <c r="A120" s="252">
        <v>11.892857142857199</v>
      </c>
      <c r="B120" s="249"/>
      <c r="C120" s="250" t="s">
        <v>681</v>
      </c>
      <c r="D120" s="222" t="s">
        <v>12</v>
      </c>
      <c r="E120" s="223">
        <v>2300</v>
      </c>
      <c r="F120" s="250" t="s">
        <v>682</v>
      </c>
    </row>
    <row r="121" spans="1:6" outlineLevel="1" x14ac:dyDescent="0.2">
      <c r="A121" s="248">
        <v>13</v>
      </c>
      <c r="B121" s="249"/>
      <c r="C121" s="250" t="s">
        <v>683</v>
      </c>
      <c r="D121" s="222" t="s">
        <v>12</v>
      </c>
      <c r="E121" s="223">
        <v>2500</v>
      </c>
      <c r="F121" s="250" t="s">
        <v>684</v>
      </c>
    </row>
    <row r="122" spans="1:6" ht="31.5" outlineLevel="1" x14ac:dyDescent="0.2">
      <c r="A122" s="159">
        <v>14.1071428571429</v>
      </c>
      <c r="B122" s="249"/>
      <c r="C122" s="250" t="s">
        <v>685</v>
      </c>
      <c r="D122" s="222" t="s">
        <v>12</v>
      </c>
      <c r="E122" s="223">
        <v>2600</v>
      </c>
      <c r="F122" s="250" t="s">
        <v>686</v>
      </c>
    </row>
    <row r="123" spans="1:6" ht="23.25" x14ac:dyDescent="0.2">
      <c r="A123" s="276" t="s">
        <v>687</v>
      </c>
      <c r="B123" s="277"/>
      <c r="C123" s="277"/>
      <c r="D123" s="277"/>
      <c r="E123" s="277"/>
      <c r="F123" s="278"/>
    </row>
    <row r="124" spans="1:6" ht="31.5" outlineLevel="1" x14ac:dyDescent="0.2">
      <c r="A124" s="240">
        <v>1</v>
      </c>
      <c r="B124" s="282" t="s">
        <v>622</v>
      </c>
      <c r="C124" s="292" t="s">
        <v>761</v>
      </c>
      <c r="D124" s="222" t="s">
        <v>12</v>
      </c>
      <c r="E124" s="223">
        <v>400</v>
      </c>
      <c r="F124" s="22" t="s">
        <v>27</v>
      </c>
    </row>
    <row r="125" spans="1:6" outlineLevel="1" x14ac:dyDescent="0.2">
      <c r="A125" s="240">
        <v>2</v>
      </c>
      <c r="B125" s="283"/>
      <c r="C125" s="293"/>
      <c r="D125" s="222" t="s">
        <v>12</v>
      </c>
      <c r="E125" s="223">
        <v>250</v>
      </c>
      <c r="F125" s="22" t="s">
        <v>30</v>
      </c>
    </row>
    <row r="126" spans="1:6" ht="15.75" customHeight="1" outlineLevel="1" x14ac:dyDescent="0.2">
      <c r="A126" s="240">
        <v>3</v>
      </c>
      <c r="B126" s="222"/>
      <c r="C126" s="87" t="s">
        <v>688</v>
      </c>
      <c r="D126" s="222" t="s">
        <v>12</v>
      </c>
      <c r="E126" s="223">
        <v>800</v>
      </c>
      <c r="F126" s="292" t="s">
        <v>691</v>
      </c>
    </row>
    <row r="127" spans="1:6" outlineLevel="1" x14ac:dyDescent="0.2">
      <c r="A127" s="240">
        <v>4</v>
      </c>
      <c r="B127" s="222"/>
      <c r="C127" s="87" t="s">
        <v>689</v>
      </c>
      <c r="D127" s="222" t="s">
        <v>12</v>
      </c>
      <c r="E127" s="223">
        <v>400</v>
      </c>
      <c r="F127" s="293"/>
    </row>
    <row r="128" spans="1:6" outlineLevel="1" x14ac:dyDescent="0.2">
      <c r="A128" s="240">
        <v>5</v>
      </c>
      <c r="B128" s="222"/>
      <c r="C128" s="87" t="s">
        <v>690</v>
      </c>
      <c r="D128" s="222" t="s">
        <v>12</v>
      </c>
      <c r="E128" s="223">
        <v>700</v>
      </c>
      <c r="F128" s="293"/>
    </row>
    <row r="129" spans="1:6" outlineLevel="1" x14ac:dyDescent="0.25">
      <c r="A129" s="240">
        <v>6</v>
      </c>
      <c r="B129" s="222" t="s">
        <v>321</v>
      </c>
      <c r="C129" s="226" t="s">
        <v>320</v>
      </c>
      <c r="D129" s="222" t="s">
        <v>12</v>
      </c>
      <c r="E129" s="223">
        <v>200</v>
      </c>
      <c r="F129" s="87" t="s">
        <v>26</v>
      </c>
    </row>
    <row r="130" spans="1:6" outlineLevel="1" x14ac:dyDescent="0.25">
      <c r="A130" s="240">
        <v>7</v>
      </c>
      <c r="B130" s="222" t="s">
        <v>322</v>
      </c>
      <c r="C130" s="226" t="s">
        <v>320</v>
      </c>
      <c r="D130" s="222" t="s">
        <v>12</v>
      </c>
      <c r="E130" s="223">
        <v>120</v>
      </c>
      <c r="F130" s="87" t="s">
        <v>72</v>
      </c>
    </row>
    <row r="131" spans="1:6" ht="23.25" customHeight="1" x14ac:dyDescent="0.2">
      <c r="A131" s="285" t="s">
        <v>623</v>
      </c>
      <c r="B131" s="286"/>
      <c r="C131" s="286"/>
      <c r="D131" s="286"/>
      <c r="E131" s="286"/>
      <c r="F131" s="287"/>
    </row>
    <row r="132" spans="1:6" ht="15.75" customHeight="1" outlineLevel="1" x14ac:dyDescent="0.2">
      <c r="A132" s="279" t="s">
        <v>752</v>
      </c>
      <c r="B132" s="280"/>
      <c r="C132" s="280"/>
      <c r="D132" s="280"/>
      <c r="E132" s="280"/>
      <c r="F132" s="281"/>
    </row>
    <row r="133" spans="1:6" ht="15.75" customHeight="1" outlineLevel="1" x14ac:dyDescent="0.2">
      <c r="A133" s="240">
        <v>1</v>
      </c>
      <c r="B133" s="240" t="s">
        <v>630</v>
      </c>
      <c r="C133" s="220" t="s">
        <v>178</v>
      </c>
      <c r="D133" s="222" t="s">
        <v>12</v>
      </c>
      <c r="E133" s="223">
        <v>300</v>
      </c>
      <c r="F133" s="220" t="s">
        <v>178</v>
      </c>
    </row>
    <row r="134" spans="1:6" ht="31.5" outlineLevel="1" x14ac:dyDescent="0.2">
      <c r="A134" s="246">
        <v>2</v>
      </c>
      <c r="B134" s="246" t="s">
        <v>631</v>
      </c>
      <c r="C134" s="220" t="s">
        <v>179</v>
      </c>
      <c r="D134" s="222" t="s">
        <v>12</v>
      </c>
      <c r="E134" s="223">
        <v>300</v>
      </c>
      <c r="F134" s="220" t="s">
        <v>454</v>
      </c>
    </row>
    <row r="135" spans="1:6" ht="47.25" outlineLevel="1" x14ac:dyDescent="0.2">
      <c r="A135" s="240">
        <v>3</v>
      </c>
      <c r="B135" s="240" t="s">
        <v>632</v>
      </c>
      <c r="C135" s="220" t="s">
        <v>180</v>
      </c>
      <c r="D135" s="222" t="s">
        <v>12</v>
      </c>
      <c r="E135" s="223">
        <v>350</v>
      </c>
      <c r="F135" s="220" t="s">
        <v>180</v>
      </c>
    </row>
    <row r="136" spans="1:6" outlineLevel="1" x14ac:dyDescent="0.2">
      <c r="A136" s="246">
        <v>4</v>
      </c>
      <c r="B136" s="240" t="s">
        <v>633</v>
      </c>
      <c r="C136" s="220" t="s">
        <v>181</v>
      </c>
      <c r="D136" s="222" t="s">
        <v>12</v>
      </c>
      <c r="E136" s="223">
        <v>350</v>
      </c>
      <c r="F136" s="220" t="s">
        <v>181</v>
      </c>
    </row>
    <row r="137" spans="1:6" ht="31.5" customHeight="1" outlineLevel="1" x14ac:dyDescent="0.2">
      <c r="A137" s="240">
        <v>5</v>
      </c>
      <c r="B137" s="240" t="s">
        <v>633</v>
      </c>
      <c r="C137" s="220" t="s">
        <v>111</v>
      </c>
      <c r="D137" s="222" t="s">
        <v>12</v>
      </c>
      <c r="E137" s="223">
        <v>400</v>
      </c>
      <c r="F137" s="220" t="s">
        <v>111</v>
      </c>
    </row>
    <row r="138" spans="1:6" ht="15.75" customHeight="1" outlineLevel="1" x14ac:dyDescent="0.2">
      <c r="A138" s="246">
        <v>6</v>
      </c>
      <c r="B138" s="240"/>
      <c r="C138" s="220" t="s">
        <v>447</v>
      </c>
      <c r="D138" s="222" t="s">
        <v>12</v>
      </c>
      <c r="E138" s="243">
        <v>400</v>
      </c>
      <c r="F138" s="241" t="s">
        <v>455</v>
      </c>
    </row>
    <row r="139" spans="1:6" ht="78.75" outlineLevel="1" x14ac:dyDescent="0.2">
      <c r="A139" s="240">
        <v>7</v>
      </c>
      <c r="B139" s="240"/>
      <c r="C139" s="220" t="s">
        <v>481</v>
      </c>
      <c r="D139" s="222" t="s">
        <v>12</v>
      </c>
      <c r="E139" s="223">
        <v>350</v>
      </c>
      <c r="F139" s="220" t="s">
        <v>479</v>
      </c>
    </row>
    <row r="140" spans="1:6" ht="78.75" outlineLevel="1" x14ac:dyDescent="0.2">
      <c r="A140" s="246">
        <v>8</v>
      </c>
      <c r="B140" s="240"/>
      <c r="C140" s="220" t="s">
        <v>478</v>
      </c>
      <c r="D140" s="222" t="s">
        <v>12</v>
      </c>
      <c r="E140" s="223">
        <v>200</v>
      </c>
      <c r="F140" s="220" t="s">
        <v>479</v>
      </c>
    </row>
    <row r="141" spans="1:6" ht="78.75" outlineLevel="1" x14ac:dyDescent="0.2">
      <c r="A141" s="240">
        <v>9</v>
      </c>
      <c r="B141" s="240"/>
      <c r="C141" s="220" t="s">
        <v>480</v>
      </c>
      <c r="D141" s="222" t="s">
        <v>12</v>
      </c>
      <c r="E141" s="223">
        <v>200</v>
      </c>
      <c r="F141" s="220" t="s">
        <v>479</v>
      </c>
    </row>
    <row r="142" spans="1:6" outlineLevel="1" x14ac:dyDescent="0.2">
      <c r="A142" s="246">
        <v>10</v>
      </c>
      <c r="B142" s="240" t="s">
        <v>634</v>
      </c>
      <c r="C142" s="220" t="s">
        <v>729</v>
      </c>
      <c r="D142" s="222" t="s">
        <v>12</v>
      </c>
      <c r="E142" s="223">
        <v>250</v>
      </c>
      <c r="F142" s="220" t="s">
        <v>189</v>
      </c>
    </row>
    <row r="143" spans="1:6" ht="47.25" outlineLevel="1" x14ac:dyDescent="0.2">
      <c r="A143" s="240">
        <v>11</v>
      </c>
      <c r="B143" s="240"/>
      <c r="C143" s="220" t="s">
        <v>482</v>
      </c>
      <c r="D143" s="222" t="s">
        <v>12</v>
      </c>
      <c r="E143" s="223">
        <v>220</v>
      </c>
      <c r="F143" s="220" t="s">
        <v>483</v>
      </c>
    </row>
    <row r="144" spans="1:6" ht="47.25" outlineLevel="1" x14ac:dyDescent="0.2">
      <c r="A144" s="246">
        <v>12</v>
      </c>
      <c r="B144" s="240"/>
      <c r="C144" s="220" t="s">
        <v>484</v>
      </c>
      <c r="D144" s="222" t="s">
        <v>12</v>
      </c>
      <c r="E144" s="223">
        <v>400</v>
      </c>
      <c r="F144" s="220" t="s">
        <v>485</v>
      </c>
    </row>
    <row r="145" spans="1:6" outlineLevel="1" x14ac:dyDescent="0.2">
      <c r="A145" s="240">
        <v>13</v>
      </c>
      <c r="B145" s="246" t="s">
        <v>635</v>
      </c>
      <c r="C145" s="220" t="s">
        <v>187</v>
      </c>
      <c r="D145" s="222" t="s">
        <v>12</v>
      </c>
      <c r="E145" s="223">
        <v>600</v>
      </c>
      <c r="F145" s="220" t="s">
        <v>187</v>
      </c>
    </row>
    <row r="146" spans="1:6" outlineLevel="1" x14ac:dyDescent="0.2">
      <c r="A146" s="246">
        <v>14</v>
      </c>
      <c r="B146" s="240" t="s">
        <v>636</v>
      </c>
      <c r="C146" s="220" t="s">
        <v>182</v>
      </c>
      <c r="D146" s="222" t="s">
        <v>12</v>
      </c>
      <c r="E146" s="223">
        <v>400</v>
      </c>
      <c r="F146" s="220" t="s">
        <v>182</v>
      </c>
    </row>
    <row r="147" spans="1:6" ht="31.5" outlineLevel="1" x14ac:dyDescent="0.2">
      <c r="A147" s="240">
        <v>15</v>
      </c>
      <c r="B147" s="240"/>
      <c r="C147" s="220" t="s">
        <v>715</v>
      </c>
      <c r="D147" s="222" t="s">
        <v>12</v>
      </c>
      <c r="E147" s="223">
        <v>230</v>
      </c>
      <c r="F147" s="220" t="s">
        <v>715</v>
      </c>
    </row>
    <row r="148" spans="1:6" ht="31.5" customHeight="1" outlineLevel="1" x14ac:dyDescent="0.2">
      <c r="A148" s="246">
        <v>16</v>
      </c>
      <c r="B148" s="240"/>
      <c r="C148" s="220" t="s">
        <v>716</v>
      </c>
      <c r="D148" s="222" t="s">
        <v>12</v>
      </c>
      <c r="E148" s="223">
        <v>150</v>
      </c>
      <c r="F148" s="220" t="s">
        <v>716</v>
      </c>
    </row>
    <row r="149" spans="1:6" outlineLevel="1" x14ac:dyDescent="0.2">
      <c r="A149" s="240">
        <v>17</v>
      </c>
      <c r="B149" s="240"/>
      <c r="C149" s="220" t="s">
        <v>717</v>
      </c>
      <c r="D149" s="222" t="s">
        <v>12</v>
      </c>
      <c r="E149" s="223">
        <v>150</v>
      </c>
      <c r="F149" s="220" t="s">
        <v>717</v>
      </c>
    </row>
    <row r="150" spans="1:6" outlineLevel="1" x14ac:dyDescent="0.2">
      <c r="A150" s="279" t="s">
        <v>751</v>
      </c>
      <c r="B150" s="280"/>
      <c r="C150" s="280"/>
      <c r="D150" s="280"/>
      <c r="E150" s="280"/>
      <c r="F150" s="281"/>
    </row>
    <row r="151" spans="1:6" s="229" customFormat="1" outlineLevel="1" x14ac:dyDescent="0.2">
      <c r="A151" s="282">
        <v>18</v>
      </c>
      <c r="B151" s="282" t="s">
        <v>624</v>
      </c>
      <c r="C151" s="279" t="s">
        <v>332</v>
      </c>
      <c r="D151" s="280"/>
      <c r="E151" s="280"/>
      <c r="F151" s="281"/>
    </row>
    <row r="152" spans="1:6" ht="31.5" outlineLevel="1" x14ac:dyDescent="0.2">
      <c r="A152" s="283"/>
      <c r="B152" s="283"/>
      <c r="C152" s="22" t="s">
        <v>75</v>
      </c>
      <c r="D152" s="222" t="s">
        <v>33</v>
      </c>
      <c r="E152" s="223">
        <v>220</v>
      </c>
      <c r="F152" s="22" t="s">
        <v>75</v>
      </c>
    </row>
    <row r="153" spans="1:6" ht="31.5" outlineLevel="1" x14ac:dyDescent="0.2">
      <c r="A153" s="283"/>
      <c r="B153" s="283"/>
      <c r="C153" s="22" t="s">
        <v>85</v>
      </c>
      <c r="D153" s="222" t="s">
        <v>33</v>
      </c>
      <c r="E153" s="223">
        <v>240</v>
      </c>
      <c r="F153" s="22" t="s">
        <v>85</v>
      </c>
    </row>
    <row r="154" spans="1:6" ht="31.5" outlineLevel="1" x14ac:dyDescent="0.2">
      <c r="A154" s="283"/>
      <c r="B154" s="283"/>
      <c r="C154" s="22" t="s">
        <v>76</v>
      </c>
      <c r="D154" s="222" t="s">
        <v>33</v>
      </c>
      <c r="E154" s="223">
        <v>300</v>
      </c>
      <c r="F154" s="22" t="s">
        <v>76</v>
      </c>
    </row>
    <row r="155" spans="1:6" ht="47.25" outlineLevel="1" x14ac:dyDescent="0.2">
      <c r="A155" s="284"/>
      <c r="B155" s="284"/>
      <c r="C155" s="22" t="s">
        <v>407</v>
      </c>
      <c r="D155" s="222" t="s">
        <v>33</v>
      </c>
      <c r="E155" s="223">
        <v>300</v>
      </c>
      <c r="F155" s="22" t="s">
        <v>407</v>
      </c>
    </row>
    <row r="156" spans="1:6" outlineLevel="1" x14ac:dyDescent="0.2">
      <c r="A156" s="282">
        <v>19</v>
      </c>
      <c r="B156" s="282" t="s">
        <v>624</v>
      </c>
      <c r="C156" s="279" t="s">
        <v>333</v>
      </c>
      <c r="D156" s="280"/>
      <c r="E156" s="280"/>
      <c r="F156" s="281"/>
    </row>
    <row r="157" spans="1:6" ht="31.5" outlineLevel="1" x14ac:dyDescent="0.2">
      <c r="A157" s="283"/>
      <c r="B157" s="283"/>
      <c r="C157" s="22" t="s">
        <v>75</v>
      </c>
      <c r="D157" s="222" t="s">
        <v>33</v>
      </c>
      <c r="E157" s="223">
        <v>240</v>
      </c>
      <c r="F157" s="87" t="s">
        <v>75</v>
      </c>
    </row>
    <row r="158" spans="1:6" ht="31.5" outlineLevel="1" x14ac:dyDescent="0.2">
      <c r="A158" s="283"/>
      <c r="B158" s="283"/>
      <c r="C158" s="22" t="s">
        <v>85</v>
      </c>
      <c r="D158" s="222" t="s">
        <v>33</v>
      </c>
      <c r="E158" s="223">
        <v>300</v>
      </c>
      <c r="F158" s="87" t="s">
        <v>85</v>
      </c>
    </row>
    <row r="159" spans="1:6" ht="31.5" outlineLevel="1" x14ac:dyDescent="0.2">
      <c r="A159" s="283"/>
      <c r="B159" s="283"/>
      <c r="C159" s="22" t="s">
        <v>76</v>
      </c>
      <c r="D159" s="222" t="s">
        <v>33</v>
      </c>
      <c r="E159" s="223">
        <v>330</v>
      </c>
      <c r="F159" s="87" t="s">
        <v>76</v>
      </c>
    </row>
    <row r="160" spans="1:6" ht="47.25" outlineLevel="1" x14ac:dyDescent="0.2">
      <c r="A160" s="284"/>
      <c r="B160" s="284"/>
      <c r="C160" s="22" t="s">
        <v>407</v>
      </c>
      <c r="D160" s="222" t="s">
        <v>33</v>
      </c>
      <c r="E160" s="223">
        <v>330</v>
      </c>
      <c r="F160" s="87" t="s">
        <v>407</v>
      </c>
    </row>
    <row r="161" spans="1:6" outlineLevel="1" x14ac:dyDescent="0.2">
      <c r="A161" s="282">
        <v>20</v>
      </c>
      <c r="B161" s="279" t="s">
        <v>402</v>
      </c>
      <c r="C161" s="281"/>
      <c r="D161" s="282" t="s">
        <v>625</v>
      </c>
      <c r="E161" s="294">
        <v>400</v>
      </c>
      <c r="F161" s="292"/>
    </row>
    <row r="162" spans="1:6" outlineLevel="1" x14ac:dyDescent="0.2">
      <c r="A162" s="283"/>
      <c r="B162" s="222" t="s">
        <v>626</v>
      </c>
      <c r="C162" s="22" t="s">
        <v>401</v>
      </c>
      <c r="D162" s="283"/>
      <c r="E162" s="295"/>
      <c r="F162" s="293"/>
    </row>
    <row r="163" spans="1:6" ht="31.5" outlineLevel="1" x14ac:dyDescent="0.2">
      <c r="A163" s="283"/>
      <c r="B163" s="222" t="s">
        <v>627</v>
      </c>
      <c r="C163" s="22" t="s">
        <v>397</v>
      </c>
      <c r="D163" s="283"/>
      <c r="E163" s="295"/>
      <c r="F163" s="293"/>
    </row>
    <row r="164" spans="1:6" outlineLevel="1" x14ac:dyDescent="0.2">
      <c r="A164" s="284"/>
      <c r="B164" s="222" t="s">
        <v>628</v>
      </c>
      <c r="C164" s="22" t="s">
        <v>399</v>
      </c>
      <c r="D164" s="284"/>
      <c r="E164" s="296"/>
      <c r="F164" s="297"/>
    </row>
    <row r="165" spans="1:6" ht="47.25" outlineLevel="1" x14ac:dyDescent="0.2">
      <c r="A165" s="52">
        <v>21</v>
      </c>
      <c r="B165" s="52" t="s">
        <v>629</v>
      </c>
      <c r="C165" s="87" t="s">
        <v>220</v>
      </c>
      <c r="D165" s="222" t="s">
        <v>33</v>
      </c>
      <c r="E165" s="223">
        <v>15000</v>
      </c>
      <c r="F165" s="87" t="s">
        <v>220</v>
      </c>
    </row>
    <row r="166" spans="1:6" ht="47.25" outlineLevel="1" x14ac:dyDescent="0.2">
      <c r="A166" s="222">
        <v>22</v>
      </c>
      <c r="B166" s="52" t="s">
        <v>629</v>
      </c>
      <c r="C166" s="87" t="s">
        <v>221</v>
      </c>
      <c r="D166" s="222" t="s">
        <v>90</v>
      </c>
      <c r="E166" s="223">
        <v>3000</v>
      </c>
      <c r="F166" s="87" t="s">
        <v>221</v>
      </c>
    </row>
    <row r="167" spans="1:6" outlineLevel="1" x14ac:dyDescent="0.2">
      <c r="A167" s="222">
        <v>23</v>
      </c>
      <c r="B167" s="87"/>
      <c r="C167" s="87" t="s">
        <v>35</v>
      </c>
      <c r="D167" s="222" t="s">
        <v>36</v>
      </c>
      <c r="E167" s="223">
        <v>1000</v>
      </c>
      <c r="F167" s="87" t="s">
        <v>35</v>
      </c>
    </row>
    <row r="168" spans="1:6" ht="23.25" x14ac:dyDescent="0.2">
      <c r="A168" s="285" t="s">
        <v>637</v>
      </c>
      <c r="B168" s="286"/>
      <c r="C168" s="286"/>
      <c r="D168" s="286"/>
      <c r="E168" s="286"/>
      <c r="F168" s="287"/>
    </row>
    <row r="169" spans="1:6" outlineLevel="1" x14ac:dyDescent="0.2">
      <c r="A169" s="288">
        <v>1</v>
      </c>
      <c r="B169" s="279" t="s">
        <v>457</v>
      </c>
      <c r="C169" s="280"/>
      <c r="D169" s="280"/>
      <c r="E169" s="280"/>
      <c r="F169" s="281"/>
    </row>
    <row r="170" spans="1:6" outlineLevel="1" x14ac:dyDescent="0.2">
      <c r="A170" s="289"/>
      <c r="B170" s="288" t="s">
        <v>629</v>
      </c>
      <c r="C170" s="22" t="s">
        <v>104</v>
      </c>
      <c r="D170" s="224" t="s">
        <v>33</v>
      </c>
      <c r="E170" s="223">
        <v>300</v>
      </c>
      <c r="F170" s="24" t="s">
        <v>104</v>
      </c>
    </row>
    <row r="171" spans="1:6" outlineLevel="1" x14ac:dyDescent="0.2">
      <c r="A171" s="289"/>
      <c r="B171" s="289"/>
      <c r="C171" s="22" t="s">
        <v>456</v>
      </c>
      <c r="D171" s="224" t="s">
        <v>33</v>
      </c>
      <c r="E171" s="223">
        <v>350</v>
      </c>
      <c r="F171" s="24" t="s">
        <v>103</v>
      </c>
    </row>
    <row r="172" spans="1:6" outlineLevel="1" x14ac:dyDescent="0.2">
      <c r="A172" s="290"/>
      <c r="B172" s="290"/>
      <c r="C172" s="22" t="s">
        <v>37</v>
      </c>
      <c r="D172" s="224" t="s">
        <v>33</v>
      </c>
      <c r="E172" s="223">
        <f>E171</f>
        <v>350</v>
      </c>
      <c r="F172" s="24" t="s">
        <v>37</v>
      </c>
    </row>
    <row r="173" spans="1:6" outlineLevel="1" x14ac:dyDescent="0.2">
      <c r="A173" s="288">
        <v>2</v>
      </c>
      <c r="B173" s="279" t="s">
        <v>222</v>
      </c>
      <c r="C173" s="280"/>
      <c r="D173" s="280"/>
      <c r="E173" s="280"/>
      <c r="F173" s="281"/>
    </row>
    <row r="174" spans="1:6" outlineLevel="1" x14ac:dyDescent="0.2">
      <c r="A174" s="289"/>
      <c r="B174" s="288" t="s">
        <v>629</v>
      </c>
      <c r="C174" s="22" t="s">
        <v>104</v>
      </c>
      <c r="D174" s="224" t="s">
        <v>33</v>
      </c>
      <c r="E174" s="223">
        <v>350</v>
      </c>
      <c r="F174" s="24" t="s">
        <v>104</v>
      </c>
    </row>
    <row r="175" spans="1:6" outlineLevel="1" x14ac:dyDescent="0.2">
      <c r="A175" s="289"/>
      <c r="B175" s="289"/>
      <c r="C175" s="22" t="s">
        <v>456</v>
      </c>
      <c r="D175" s="224" t="s">
        <v>33</v>
      </c>
      <c r="E175" s="223">
        <v>400</v>
      </c>
      <c r="F175" s="24" t="s">
        <v>103</v>
      </c>
    </row>
    <row r="176" spans="1:6" outlineLevel="1" x14ac:dyDescent="0.2">
      <c r="A176" s="290"/>
      <c r="B176" s="290"/>
      <c r="C176" s="22" t="s">
        <v>37</v>
      </c>
      <c r="D176" s="224" t="s">
        <v>33</v>
      </c>
      <c r="E176" s="223">
        <f>E175</f>
        <v>400</v>
      </c>
      <c r="F176" s="24" t="s">
        <v>37</v>
      </c>
    </row>
    <row r="177" spans="1:6" ht="104.25" customHeight="1" outlineLevel="1" x14ac:dyDescent="0.2">
      <c r="A177" s="279" t="s">
        <v>331</v>
      </c>
      <c r="B177" s="280"/>
      <c r="C177" s="280"/>
      <c r="D177" s="280"/>
      <c r="E177" s="280"/>
      <c r="F177" s="280"/>
    </row>
    <row r="178" spans="1:6" ht="23.25" customHeight="1" x14ac:dyDescent="0.2">
      <c r="A178" s="276" t="s">
        <v>78</v>
      </c>
      <c r="B178" s="277"/>
      <c r="C178" s="277"/>
      <c r="D178" s="277"/>
      <c r="E178" s="277"/>
      <c r="F178" s="277"/>
    </row>
    <row r="179" spans="1:6" ht="47.25" outlineLevel="1" x14ac:dyDescent="0.2">
      <c r="A179" s="52">
        <v>1</v>
      </c>
      <c r="B179" s="52" t="s">
        <v>322</v>
      </c>
      <c r="C179" s="87" t="s">
        <v>730</v>
      </c>
      <c r="D179" s="224" t="s">
        <v>39</v>
      </c>
      <c r="E179" s="223">
        <v>1200</v>
      </c>
      <c r="F179" s="24" t="s">
        <v>38</v>
      </c>
    </row>
    <row r="180" spans="1:6" outlineLevel="1" x14ac:dyDescent="0.2">
      <c r="A180" s="52">
        <v>2</v>
      </c>
      <c r="B180" s="52" t="s">
        <v>321</v>
      </c>
      <c r="C180" s="87" t="s">
        <v>320</v>
      </c>
      <c r="D180" s="224" t="s">
        <v>39</v>
      </c>
      <c r="E180" s="223">
        <v>250</v>
      </c>
      <c r="F180" s="24" t="s">
        <v>335</v>
      </c>
    </row>
    <row r="181" spans="1:6" ht="31.5" outlineLevel="1" x14ac:dyDescent="0.2">
      <c r="A181" s="52">
        <v>3</v>
      </c>
      <c r="B181" s="52" t="s">
        <v>321</v>
      </c>
      <c r="C181" s="87" t="s">
        <v>40</v>
      </c>
      <c r="D181" s="224" t="s">
        <v>39</v>
      </c>
      <c r="E181" s="223">
        <v>2000</v>
      </c>
      <c r="F181" s="24" t="s">
        <v>336</v>
      </c>
    </row>
    <row r="182" spans="1:6" ht="31.5" outlineLevel="1" x14ac:dyDescent="0.2">
      <c r="A182" s="52">
        <v>4</v>
      </c>
      <c r="B182" s="52" t="s">
        <v>638</v>
      </c>
      <c r="C182" s="87" t="s">
        <v>388</v>
      </c>
      <c r="D182" s="224" t="s">
        <v>39</v>
      </c>
      <c r="E182" s="223">
        <v>1500</v>
      </c>
      <c r="F182" s="24" t="s">
        <v>702</v>
      </c>
    </row>
    <row r="183" spans="1:6" ht="31.5" outlineLevel="1" x14ac:dyDescent="0.2">
      <c r="A183" s="52">
        <v>5</v>
      </c>
      <c r="B183" s="52" t="s">
        <v>638</v>
      </c>
      <c r="C183" s="87" t="s">
        <v>388</v>
      </c>
      <c r="D183" s="224" t="s">
        <v>39</v>
      </c>
      <c r="E183" s="223">
        <v>2400</v>
      </c>
      <c r="F183" s="24" t="s">
        <v>703</v>
      </c>
    </row>
    <row r="184" spans="1:6" ht="31.5" outlineLevel="1" x14ac:dyDescent="0.2">
      <c r="A184" s="52">
        <v>6</v>
      </c>
      <c r="B184" s="52" t="s">
        <v>638</v>
      </c>
      <c r="C184" s="87" t="s">
        <v>388</v>
      </c>
      <c r="D184" s="224" t="s">
        <v>39</v>
      </c>
      <c r="E184" s="223">
        <v>2700</v>
      </c>
      <c r="F184" s="24" t="s">
        <v>84</v>
      </c>
    </row>
    <row r="185" spans="1:6" ht="47.25" outlineLevel="1" x14ac:dyDescent="0.2">
      <c r="A185" s="52">
        <v>7</v>
      </c>
      <c r="B185" s="52" t="s">
        <v>338</v>
      </c>
      <c r="C185" s="87" t="s">
        <v>337</v>
      </c>
      <c r="D185" s="224" t="s">
        <v>113</v>
      </c>
      <c r="E185" s="223">
        <v>150</v>
      </c>
      <c r="F185" s="24" t="s">
        <v>112</v>
      </c>
    </row>
    <row r="186" spans="1:6" ht="23.25" customHeight="1" x14ac:dyDescent="0.2">
      <c r="A186" s="276" t="s">
        <v>79</v>
      </c>
      <c r="B186" s="277"/>
      <c r="C186" s="277"/>
      <c r="D186" s="277"/>
      <c r="E186" s="277"/>
      <c r="F186" s="277"/>
    </row>
    <row r="187" spans="1:6" outlineLevel="1" x14ac:dyDescent="0.2">
      <c r="A187" s="52">
        <v>1</v>
      </c>
      <c r="B187" s="52" t="s">
        <v>639</v>
      </c>
      <c r="C187" s="225" t="s">
        <v>41</v>
      </c>
      <c r="D187" s="224" t="s">
        <v>32</v>
      </c>
      <c r="E187" s="223">
        <v>350</v>
      </c>
      <c r="F187" s="87" t="s">
        <v>404</v>
      </c>
    </row>
    <row r="188" spans="1:6" outlineLevel="1" x14ac:dyDescent="0.2">
      <c r="A188" s="52">
        <v>2</v>
      </c>
      <c r="B188" s="52" t="s">
        <v>640</v>
      </c>
      <c r="C188" s="225" t="s">
        <v>42</v>
      </c>
      <c r="D188" s="224" t="s">
        <v>32</v>
      </c>
      <c r="E188" s="223">
        <v>200</v>
      </c>
      <c r="F188" s="87" t="s">
        <v>406</v>
      </c>
    </row>
    <row r="189" spans="1:6" outlineLevel="1" x14ac:dyDescent="0.2">
      <c r="A189" s="52">
        <v>3</v>
      </c>
      <c r="B189" s="52" t="s">
        <v>641</v>
      </c>
      <c r="C189" s="87" t="s">
        <v>226</v>
      </c>
      <c r="D189" s="224" t="s">
        <v>32</v>
      </c>
      <c r="E189" s="223">
        <v>800</v>
      </c>
      <c r="F189" s="225" t="s">
        <v>226</v>
      </c>
    </row>
    <row r="190" spans="1:6" outlineLevel="1" x14ac:dyDescent="0.2">
      <c r="A190" s="52">
        <v>4</v>
      </c>
      <c r="B190" s="52" t="s">
        <v>642</v>
      </c>
      <c r="C190" s="87" t="s">
        <v>43</v>
      </c>
      <c r="D190" s="224" t="s">
        <v>32</v>
      </c>
      <c r="E190" s="223">
        <v>700</v>
      </c>
      <c r="F190" s="225" t="s">
        <v>43</v>
      </c>
    </row>
    <row r="191" spans="1:6" ht="31.5" outlineLevel="1" x14ac:dyDescent="0.2">
      <c r="A191" s="52">
        <v>5</v>
      </c>
      <c r="B191" s="52" t="s">
        <v>643</v>
      </c>
      <c r="C191" s="87" t="s">
        <v>229</v>
      </c>
      <c r="D191" s="224" t="s">
        <v>32</v>
      </c>
      <c r="E191" s="223">
        <v>1000</v>
      </c>
      <c r="F191" s="225" t="s">
        <v>229</v>
      </c>
    </row>
    <row r="192" spans="1:6" ht="31.5" outlineLevel="1" x14ac:dyDescent="0.2">
      <c r="A192" s="52">
        <v>6</v>
      </c>
      <c r="B192" s="52" t="s">
        <v>644</v>
      </c>
      <c r="C192" s="87" t="s">
        <v>339</v>
      </c>
      <c r="D192" s="224" t="s">
        <v>32</v>
      </c>
      <c r="E192" s="223">
        <v>1500</v>
      </c>
      <c r="F192" s="225" t="s">
        <v>44</v>
      </c>
    </row>
    <row r="193" spans="1:6" ht="31.5" outlineLevel="1" x14ac:dyDescent="0.2">
      <c r="A193" s="52">
        <v>7</v>
      </c>
      <c r="B193" s="52" t="s">
        <v>444</v>
      </c>
      <c r="C193" s="87" t="s">
        <v>445</v>
      </c>
      <c r="D193" s="224" t="s">
        <v>36</v>
      </c>
      <c r="E193" s="223">
        <v>1000</v>
      </c>
      <c r="F193" s="225" t="s">
        <v>438</v>
      </c>
    </row>
    <row r="194" spans="1:6" ht="47.25" outlineLevel="1" x14ac:dyDescent="0.2">
      <c r="A194" s="52">
        <v>8</v>
      </c>
      <c r="B194" s="52" t="s">
        <v>444</v>
      </c>
      <c r="C194" s="87" t="s">
        <v>446</v>
      </c>
      <c r="D194" s="224" t="s">
        <v>36</v>
      </c>
      <c r="E194" s="223">
        <v>1000</v>
      </c>
      <c r="F194" s="225" t="s">
        <v>458</v>
      </c>
    </row>
    <row r="195" spans="1:6" ht="47.25" outlineLevel="1" x14ac:dyDescent="0.2">
      <c r="A195" s="52">
        <v>9</v>
      </c>
      <c r="B195" s="52" t="s">
        <v>444</v>
      </c>
      <c r="C195" s="87" t="s">
        <v>500</v>
      </c>
      <c r="D195" s="224" t="s">
        <v>36</v>
      </c>
      <c r="E195" s="223">
        <v>1000</v>
      </c>
      <c r="F195" s="225" t="s">
        <v>516</v>
      </c>
    </row>
    <row r="196" spans="1:6" ht="63" outlineLevel="1" x14ac:dyDescent="0.2">
      <c r="A196" s="52">
        <v>10</v>
      </c>
      <c r="B196" s="52" t="s">
        <v>444</v>
      </c>
      <c r="C196" s="87" t="s">
        <v>501</v>
      </c>
      <c r="D196" s="224" t="s">
        <v>36</v>
      </c>
      <c r="E196" s="223">
        <v>1000</v>
      </c>
      <c r="F196" s="225" t="s">
        <v>502</v>
      </c>
    </row>
    <row r="197" spans="1:6" ht="23.25" customHeight="1" x14ac:dyDescent="0.2">
      <c r="A197" s="276" t="s">
        <v>80</v>
      </c>
      <c r="B197" s="277"/>
      <c r="C197" s="277"/>
      <c r="D197" s="277"/>
      <c r="E197" s="277"/>
      <c r="F197" s="277"/>
    </row>
    <row r="198" spans="1:6" ht="47.25" outlineLevel="1" x14ac:dyDescent="0.2">
      <c r="A198" s="52">
        <v>1</v>
      </c>
      <c r="B198" s="52" t="s">
        <v>645</v>
      </c>
      <c r="C198" s="22" t="s">
        <v>245</v>
      </c>
      <c r="D198" s="224" t="s">
        <v>32</v>
      </c>
      <c r="E198" s="223">
        <v>800</v>
      </c>
      <c r="F198" s="24" t="s">
        <v>245</v>
      </c>
    </row>
    <row r="199" spans="1:6" ht="31.5" outlineLevel="1" x14ac:dyDescent="0.25">
      <c r="A199" s="52">
        <v>2</v>
      </c>
      <c r="B199" s="52" t="s">
        <v>646</v>
      </c>
      <c r="C199" s="226" t="s">
        <v>243</v>
      </c>
      <c r="D199" s="224" t="s">
        <v>32</v>
      </c>
      <c r="E199" s="223">
        <v>900</v>
      </c>
      <c r="F199" s="227" t="s">
        <v>243</v>
      </c>
    </row>
    <row r="200" spans="1:6" outlineLevel="1" x14ac:dyDescent="0.2">
      <c r="A200" s="52">
        <v>3</v>
      </c>
      <c r="B200" s="52" t="s">
        <v>647</v>
      </c>
      <c r="C200" s="22" t="s">
        <v>242</v>
      </c>
      <c r="D200" s="224" t="s">
        <v>32</v>
      </c>
      <c r="E200" s="223">
        <v>700</v>
      </c>
      <c r="F200" s="24" t="s">
        <v>242</v>
      </c>
    </row>
    <row r="201" spans="1:6" ht="31.5" outlineLevel="1" x14ac:dyDescent="0.2">
      <c r="A201" s="52">
        <v>4</v>
      </c>
      <c r="B201" s="52" t="s">
        <v>648</v>
      </c>
      <c r="C201" s="22" t="s">
        <v>241</v>
      </c>
      <c r="D201" s="224" t="s">
        <v>32</v>
      </c>
      <c r="E201" s="223">
        <v>1000</v>
      </c>
      <c r="F201" s="24" t="s">
        <v>241</v>
      </c>
    </row>
    <row r="202" spans="1:6" ht="47.25" outlineLevel="1" x14ac:dyDescent="0.2">
      <c r="A202" s="52">
        <v>5</v>
      </c>
      <c r="B202" s="52" t="s">
        <v>341</v>
      </c>
      <c r="C202" s="22" t="s">
        <v>340</v>
      </c>
      <c r="D202" s="224" t="s">
        <v>32</v>
      </c>
      <c r="E202" s="223">
        <v>1000</v>
      </c>
      <c r="F202" s="24" t="s">
        <v>89</v>
      </c>
    </row>
    <row r="203" spans="1:6" ht="31.5" outlineLevel="1" x14ac:dyDescent="0.2">
      <c r="A203" s="52">
        <v>6</v>
      </c>
      <c r="B203" s="52" t="s">
        <v>649</v>
      </c>
      <c r="C203" s="22" t="s">
        <v>342</v>
      </c>
      <c r="D203" s="224" t="s">
        <v>32</v>
      </c>
      <c r="E203" s="223">
        <v>1200</v>
      </c>
      <c r="F203" s="24" t="s">
        <v>343</v>
      </c>
    </row>
    <row r="204" spans="1:6" outlineLevel="1" x14ac:dyDescent="0.2">
      <c r="A204" s="52">
        <v>7</v>
      </c>
      <c r="B204" s="52" t="s">
        <v>650</v>
      </c>
      <c r="C204" s="22" t="s">
        <v>45</v>
      </c>
      <c r="D204" s="224" t="s">
        <v>32</v>
      </c>
      <c r="E204" s="223">
        <v>800</v>
      </c>
      <c r="F204" s="24" t="s">
        <v>45</v>
      </c>
    </row>
    <row r="205" spans="1:6" outlineLevel="1" x14ac:dyDescent="0.2">
      <c r="A205" s="52">
        <v>8</v>
      </c>
      <c r="B205" s="52" t="s">
        <v>651</v>
      </c>
      <c r="C205" s="22" t="s">
        <v>46</v>
      </c>
      <c r="D205" s="224" t="s">
        <v>32</v>
      </c>
      <c r="E205" s="223">
        <v>800</v>
      </c>
      <c r="F205" s="24" t="s">
        <v>46</v>
      </c>
    </row>
    <row r="206" spans="1:6" outlineLevel="1" x14ac:dyDescent="0.2">
      <c r="A206" s="52">
        <v>9</v>
      </c>
      <c r="B206" s="52" t="s">
        <v>649</v>
      </c>
      <c r="C206" s="22" t="s">
        <v>47</v>
      </c>
      <c r="D206" s="224" t="s">
        <v>32</v>
      </c>
      <c r="E206" s="223">
        <v>1500</v>
      </c>
      <c r="F206" s="24" t="s">
        <v>47</v>
      </c>
    </row>
    <row r="207" spans="1:6" ht="47.25" outlineLevel="1" x14ac:dyDescent="0.2">
      <c r="A207" s="52">
        <v>10</v>
      </c>
      <c r="B207" s="52" t="s">
        <v>652</v>
      </c>
      <c r="C207" s="22" t="s">
        <v>246</v>
      </c>
      <c r="D207" s="224" t="s">
        <v>32</v>
      </c>
      <c r="E207" s="223">
        <v>800</v>
      </c>
      <c r="F207" s="24" t="s">
        <v>246</v>
      </c>
    </row>
    <row r="208" spans="1:6" outlineLevel="1" x14ac:dyDescent="0.2">
      <c r="A208" s="52">
        <v>11</v>
      </c>
      <c r="B208" s="52" t="s">
        <v>653</v>
      </c>
      <c r="C208" s="22" t="s">
        <v>48</v>
      </c>
      <c r="D208" s="224" t="s">
        <v>32</v>
      </c>
      <c r="E208" s="223">
        <v>750</v>
      </c>
      <c r="F208" s="24" t="s">
        <v>48</v>
      </c>
    </row>
    <row r="209" spans="1:6" ht="31.5" outlineLevel="1" x14ac:dyDescent="0.2">
      <c r="A209" s="52">
        <v>12</v>
      </c>
      <c r="B209" s="52" t="s">
        <v>654</v>
      </c>
      <c r="C209" s="22" t="s">
        <v>244</v>
      </c>
      <c r="D209" s="224" t="s">
        <v>32</v>
      </c>
      <c r="E209" s="223">
        <v>700</v>
      </c>
      <c r="F209" s="24" t="s">
        <v>244</v>
      </c>
    </row>
    <row r="210" spans="1:6" outlineLevel="1" x14ac:dyDescent="0.2">
      <c r="A210" s="52">
        <v>13</v>
      </c>
      <c r="B210" s="52"/>
      <c r="C210" s="22" t="s">
        <v>106</v>
      </c>
      <c r="D210" s="224" t="s">
        <v>32</v>
      </c>
      <c r="E210" s="223">
        <v>2200</v>
      </c>
      <c r="F210" s="24" t="s">
        <v>106</v>
      </c>
    </row>
    <row r="211" spans="1:6" outlineLevel="1" x14ac:dyDescent="0.2">
      <c r="A211" s="52">
        <v>14</v>
      </c>
      <c r="B211" s="52"/>
      <c r="C211" s="22" t="s">
        <v>107</v>
      </c>
      <c r="D211" s="224" t="s">
        <v>32</v>
      </c>
      <c r="E211" s="223">
        <v>2200</v>
      </c>
      <c r="F211" s="24" t="s">
        <v>107</v>
      </c>
    </row>
    <row r="212" spans="1:6" ht="31.5" outlineLevel="1" x14ac:dyDescent="0.25">
      <c r="A212" s="52">
        <v>15</v>
      </c>
      <c r="B212" s="52" t="s">
        <v>655</v>
      </c>
      <c r="C212" s="226" t="s">
        <v>344</v>
      </c>
      <c r="D212" s="224" t="s">
        <v>32</v>
      </c>
      <c r="E212" s="223">
        <v>1200</v>
      </c>
      <c r="F212" s="24" t="s">
        <v>105</v>
      </c>
    </row>
    <row r="213" spans="1:6" ht="31.5" outlineLevel="1" x14ac:dyDescent="0.25">
      <c r="A213" s="52">
        <v>16</v>
      </c>
      <c r="B213" s="52" t="s">
        <v>655</v>
      </c>
      <c r="C213" s="226" t="s">
        <v>344</v>
      </c>
      <c r="D213" s="224" t="s">
        <v>32</v>
      </c>
      <c r="E213" s="223">
        <v>1200</v>
      </c>
      <c r="F213" s="24" t="s">
        <v>109</v>
      </c>
    </row>
    <row r="214" spans="1:6" ht="31.5" outlineLevel="1" x14ac:dyDescent="0.25">
      <c r="A214" s="52">
        <v>17</v>
      </c>
      <c r="B214" s="52" t="s">
        <v>656</v>
      </c>
      <c r="C214" s="226" t="s">
        <v>347</v>
      </c>
      <c r="D214" s="224" t="s">
        <v>32</v>
      </c>
      <c r="E214" s="223">
        <v>1200</v>
      </c>
      <c r="F214" s="24" t="s">
        <v>108</v>
      </c>
    </row>
    <row r="215" spans="1:6" ht="31.5" outlineLevel="1" x14ac:dyDescent="0.25">
      <c r="A215" s="52">
        <v>18</v>
      </c>
      <c r="B215" s="52" t="s">
        <v>656</v>
      </c>
      <c r="C215" s="226" t="s">
        <v>347</v>
      </c>
      <c r="D215" s="224" t="s">
        <v>32</v>
      </c>
      <c r="E215" s="223">
        <v>1200</v>
      </c>
      <c r="F215" s="24" t="s">
        <v>110</v>
      </c>
    </row>
    <row r="216" spans="1:6" ht="31.5" outlineLevel="1" x14ac:dyDescent="0.2">
      <c r="A216" s="52">
        <v>19</v>
      </c>
      <c r="B216" s="52" t="s">
        <v>348</v>
      </c>
      <c r="C216" s="22" t="s">
        <v>349</v>
      </c>
      <c r="D216" s="224" t="s">
        <v>32</v>
      </c>
      <c r="E216" s="223">
        <v>1200</v>
      </c>
      <c r="F216" s="24" t="s">
        <v>350</v>
      </c>
    </row>
    <row r="217" spans="1:6" ht="23.25" customHeight="1" x14ac:dyDescent="0.2">
      <c r="A217" s="276" t="s">
        <v>81</v>
      </c>
      <c r="B217" s="277"/>
      <c r="C217" s="277"/>
      <c r="D217" s="277"/>
      <c r="E217" s="277"/>
      <c r="F217" s="277"/>
    </row>
    <row r="218" spans="1:6" ht="31.5" outlineLevel="1" x14ac:dyDescent="0.2">
      <c r="A218" s="52">
        <v>1</v>
      </c>
      <c r="B218" s="56" t="s">
        <v>657</v>
      </c>
      <c r="C218" s="22" t="s">
        <v>351</v>
      </c>
      <c r="D218" s="224" t="s">
        <v>12</v>
      </c>
      <c r="E218" s="223">
        <v>100</v>
      </c>
      <c r="F218" s="24" t="s">
        <v>49</v>
      </c>
    </row>
    <row r="219" spans="1:6" ht="31.5" outlineLevel="1" x14ac:dyDescent="0.2">
      <c r="A219" s="52">
        <v>2</v>
      </c>
      <c r="B219" s="56" t="s">
        <v>658</v>
      </c>
      <c r="C219" s="22" t="s">
        <v>352</v>
      </c>
      <c r="D219" s="224" t="s">
        <v>12</v>
      </c>
      <c r="E219" s="223">
        <v>150</v>
      </c>
      <c r="F219" s="24" t="s">
        <v>50</v>
      </c>
    </row>
    <row r="220" spans="1:6" outlineLevel="1" x14ac:dyDescent="0.2">
      <c r="A220" s="52">
        <v>3</v>
      </c>
      <c r="B220" s="56" t="s">
        <v>659</v>
      </c>
      <c r="C220" s="22" t="s">
        <v>353</v>
      </c>
      <c r="D220" s="224" t="s">
        <v>12</v>
      </c>
      <c r="E220" s="223">
        <v>150</v>
      </c>
      <c r="F220" s="24" t="s">
        <v>51</v>
      </c>
    </row>
    <row r="221" spans="1:6" ht="31.5" outlineLevel="1" x14ac:dyDescent="0.2">
      <c r="A221" s="52">
        <v>4</v>
      </c>
      <c r="B221" s="56" t="s">
        <v>658</v>
      </c>
      <c r="C221" s="87" t="s">
        <v>731</v>
      </c>
      <c r="D221" s="224" t="s">
        <v>12</v>
      </c>
      <c r="E221" s="223">
        <v>500</v>
      </c>
      <c r="F221" s="24" t="s">
        <v>52</v>
      </c>
    </row>
    <row r="222" spans="1:6" ht="23.25" customHeight="1" x14ac:dyDescent="0.2">
      <c r="A222" s="276" t="s">
        <v>737</v>
      </c>
      <c r="B222" s="277"/>
      <c r="C222" s="277"/>
      <c r="D222" s="277"/>
      <c r="E222" s="277"/>
      <c r="F222" s="277"/>
    </row>
    <row r="223" spans="1:6" ht="31.5" outlineLevel="1" x14ac:dyDescent="0.2">
      <c r="A223" s="246">
        <v>1</v>
      </c>
      <c r="B223" s="246" t="s">
        <v>358</v>
      </c>
      <c r="C223" s="220" t="s">
        <v>753</v>
      </c>
      <c r="D223" s="224" t="s">
        <v>12</v>
      </c>
      <c r="E223" s="223">
        <v>450</v>
      </c>
      <c r="F223" s="241" t="s">
        <v>360</v>
      </c>
    </row>
    <row r="224" spans="1:6" outlineLevel="1" x14ac:dyDescent="0.2">
      <c r="A224" s="246">
        <v>2</v>
      </c>
      <c r="B224" s="246" t="s">
        <v>667</v>
      </c>
      <c r="C224" s="220" t="s">
        <v>252</v>
      </c>
      <c r="D224" s="224" t="s">
        <v>12</v>
      </c>
      <c r="E224" s="223">
        <v>450</v>
      </c>
      <c r="F224" s="241" t="s">
        <v>252</v>
      </c>
    </row>
    <row r="225" spans="1:6" ht="31.5" outlineLevel="1" x14ac:dyDescent="0.2">
      <c r="A225" s="246">
        <v>3</v>
      </c>
      <c r="B225" s="246" t="s">
        <v>668</v>
      </c>
      <c r="C225" s="220" t="s">
        <v>361</v>
      </c>
      <c r="D225" s="222" t="s">
        <v>12</v>
      </c>
      <c r="E225" s="223">
        <v>400</v>
      </c>
      <c r="F225" s="241" t="s">
        <v>362</v>
      </c>
    </row>
    <row r="226" spans="1:6" ht="31.5" outlineLevel="1" x14ac:dyDescent="0.2">
      <c r="A226" s="246">
        <v>4</v>
      </c>
      <c r="B226" s="246"/>
      <c r="C226" s="220" t="s">
        <v>575</v>
      </c>
      <c r="D226" s="222" t="s">
        <v>12</v>
      </c>
      <c r="E226" s="223">
        <v>350</v>
      </c>
      <c r="F226" s="241" t="s">
        <v>576</v>
      </c>
    </row>
    <row r="227" spans="1:6" ht="23.25" x14ac:dyDescent="0.2">
      <c r="A227" s="276" t="s">
        <v>738</v>
      </c>
      <c r="B227" s="277"/>
      <c r="C227" s="277"/>
      <c r="D227" s="277"/>
      <c r="E227" s="277"/>
      <c r="F227" s="277"/>
    </row>
    <row r="228" spans="1:6" ht="47.25" outlineLevel="1" x14ac:dyDescent="0.2">
      <c r="A228" s="246">
        <v>1</v>
      </c>
      <c r="B228" s="246" t="s">
        <v>669</v>
      </c>
      <c r="C228" s="220" t="s">
        <v>735</v>
      </c>
      <c r="D228" s="224" t="s">
        <v>12</v>
      </c>
      <c r="E228" s="223">
        <v>600</v>
      </c>
      <c r="F228" s="241" t="s">
        <v>734</v>
      </c>
    </row>
    <row r="229" spans="1:6" outlineLevel="1" x14ac:dyDescent="0.2">
      <c r="A229" s="246">
        <v>2</v>
      </c>
      <c r="B229" s="246" t="s">
        <v>670</v>
      </c>
      <c r="C229" s="220" t="s">
        <v>369</v>
      </c>
      <c r="D229" s="224" t="s">
        <v>12</v>
      </c>
      <c r="E229" s="223">
        <v>400</v>
      </c>
      <c r="F229" s="241" t="s">
        <v>64</v>
      </c>
    </row>
    <row r="230" spans="1:6" ht="31.5" outlineLevel="1" x14ac:dyDescent="0.2">
      <c r="A230" s="246">
        <v>3</v>
      </c>
      <c r="B230" s="246" t="s">
        <v>671</v>
      </c>
      <c r="C230" s="220" t="s">
        <v>258</v>
      </c>
      <c r="D230" s="224" t="s">
        <v>12</v>
      </c>
      <c r="E230" s="223">
        <v>450</v>
      </c>
      <c r="F230" s="241" t="s">
        <v>258</v>
      </c>
    </row>
    <row r="231" spans="1:6" ht="31.5" outlineLevel="1" x14ac:dyDescent="0.2">
      <c r="A231" s="52">
        <v>4</v>
      </c>
      <c r="B231" s="52" t="s">
        <v>670</v>
      </c>
      <c r="C231" s="87" t="s">
        <v>369</v>
      </c>
      <c r="D231" s="224" t="s">
        <v>15</v>
      </c>
      <c r="E231" s="223">
        <v>1200</v>
      </c>
      <c r="F231" s="225" t="s">
        <v>65</v>
      </c>
    </row>
    <row r="232" spans="1:6" ht="23.25" customHeight="1" x14ac:dyDescent="0.2">
      <c r="A232" s="276" t="s">
        <v>739</v>
      </c>
      <c r="B232" s="277"/>
      <c r="C232" s="277"/>
      <c r="D232" s="277"/>
      <c r="E232" s="277"/>
      <c r="F232" s="277"/>
    </row>
    <row r="233" spans="1:6" outlineLevel="1" x14ac:dyDescent="0.25">
      <c r="A233" s="52">
        <v>1</v>
      </c>
      <c r="B233" s="52" t="s">
        <v>672</v>
      </c>
      <c r="C233" s="253" t="s">
        <v>372</v>
      </c>
      <c r="D233" s="224" t="s">
        <v>12</v>
      </c>
      <c r="E233" s="223">
        <v>300</v>
      </c>
      <c r="F233" s="225" t="s">
        <v>66</v>
      </c>
    </row>
    <row r="234" spans="1:6" outlineLevel="1" x14ac:dyDescent="0.25">
      <c r="A234" s="52">
        <v>2</v>
      </c>
      <c r="B234" s="52" t="s">
        <v>672</v>
      </c>
      <c r="C234" s="253" t="s">
        <v>372</v>
      </c>
      <c r="D234" s="224" t="s">
        <v>12</v>
      </c>
      <c r="E234" s="223">
        <v>350</v>
      </c>
      <c r="F234" s="225" t="s">
        <v>67</v>
      </c>
    </row>
    <row r="235" spans="1:6" ht="23.25" customHeight="1" x14ac:dyDescent="0.2">
      <c r="A235" s="276" t="s">
        <v>740</v>
      </c>
      <c r="B235" s="277"/>
      <c r="C235" s="277"/>
      <c r="D235" s="277"/>
      <c r="E235" s="277"/>
      <c r="F235" s="278"/>
    </row>
    <row r="236" spans="1:6" ht="47.25" outlineLevel="1" x14ac:dyDescent="0.2">
      <c r="A236" s="52">
        <v>1</v>
      </c>
      <c r="B236" s="52"/>
      <c r="C236" s="254" t="s">
        <v>512</v>
      </c>
      <c r="D236" s="224" t="s">
        <v>36</v>
      </c>
      <c r="E236" s="223">
        <v>2000</v>
      </c>
      <c r="F236" s="254" t="s">
        <v>512</v>
      </c>
    </row>
    <row r="237" spans="1:6" ht="23.25" customHeight="1" x14ac:dyDescent="0.2">
      <c r="A237" s="291" t="s">
        <v>741</v>
      </c>
      <c r="B237" s="291"/>
      <c r="C237" s="291"/>
      <c r="D237" s="291"/>
      <c r="E237" s="291"/>
      <c r="F237" s="291"/>
    </row>
    <row r="238" spans="1:6" outlineLevel="1" x14ac:dyDescent="0.2">
      <c r="A238" s="52">
        <v>1</v>
      </c>
      <c r="B238" s="52" t="s">
        <v>673</v>
      </c>
      <c r="C238" s="87" t="s">
        <v>379</v>
      </c>
      <c r="D238" s="222" t="s">
        <v>55</v>
      </c>
      <c r="E238" s="223">
        <v>700</v>
      </c>
      <c r="F238" s="87" t="s">
        <v>378</v>
      </c>
    </row>
    <row r="239" spans="1:6" ht="31.5" outlineLevel="1" x14ac:dyDescent="0.2">
      <c r="A239" s="52">
        <v>2</v>
      </c>
      <c r="B239" s="52" t="s">
        <v>673</v>
      </c>
      <c r="C239" s="87" t="s">
        <v>380</v>
      </c>
      <c r="D239" s="222" t="s">
        <v>55</v>
      </c>
      <c r="E239" s="223">
        <v>600</v>
      </c>
      <c r="F239" s="87" t="s">
        <v>378</v>
      </c>
    </row>
    <row r="240" spans="1:6" outlineLevel="1" x14ac:dyDescent="0.2">
      <c r="A240" s="52">
        <v>3</v>
      </c>
      <c r="B240" s="52" t="s">
        <v>673</v>
      </c>
      <c r="C240" s="87" t="s">
        <v>381</v>
      </c>
      <c r="D240" s="222" t="s">
        <v>55</v>
      </c>
      <c r="E240" s="223">
        <v>600</v>
      </c>
      <c r="F240" s="87" t="s">
        <v>378</v>
      </c>
    </row>
    <row r="241" spans="1:6" ht="31.5" outlineLevel="1" x14ac:dyDescent="0.2">
      <c r="A241" s="52">
        <v>4</v>
      </c>
      <c r="B241" s="52" t="s">
        <v>673</v>
      </c>
      <c r="C241" s="87" t="s">
        <v>68</v>
      </c>
      <c r="D241" s="222" t="s">
        <v>55</v>
      </c>
      <c r="E241" s="223">
        <v>700</v>
      </c>
      <c r="F241" s="87" t="s">
        <v>378</v>
      </c>
    </row>
    <row r="242" spans="1:6" outlineLevel="1" x14ac:dyDescent="0.2">
      <c r="A242" s="52">
        <v>5</v>
      </c>
      <c r="B242" s="52" t="s">
        <v>673</v>
      </c>
      <c r="C242" s="87" t="s">
        <v>69</v>
      </c>
      <c r="D242" s="222" t="s">
        <v>55</v>
      </c>
      <c r="E242" s="223">
        <v>700</v>
      </c>
      <c r="F242" s="87" t="s">
        <v>378</v>
      </c>
    </row>
    <row r="243" spans="1:6" ht="23.25" customHeight="1" x14ac:dyDescent="0.2">
      <c r="A243" s="276" t="s">
        <v>742</v>
      </c>
      <c r="B243" s="277"/>
      <c r="C243" s="277"/>
      <c r="D243" s="277"/>
      <c r="E243" s="277"/>
      <c r="F243" s="277"/>
    </row>
    <row r="244" spans="1:6" outlineLevel="1" x14ac:dyDescent="0.2">
      <c r="A244" s="52">
        <v>1</v>
      </c>
      <c r="B244" s="56" t="s">
        <v>663</v>
      </c>
      <c r="C244" s="22" t="s">
        <v>54</v>
      </c>
      <c r="D244" s="224" t="s">
        <v>55</v>
      </c>
      <c r="E244" s="223">
        <v>120</v>
      </c>
      <c r="F244" s="24" t="s">
        <v>54</v>
      </c>
    </row>
    <row r="245" spans="1:6" ht="31.5" outlineLevel="1" x14ac:dyDescent="0.2">
      <c r="A245" s="52">
        <v>2</v>
      </c>
      <c r="B245" s="56" t="s">
        <v>663</v>
      </c>
      <c r="C245" s="22" t="s">
        <v>488</v>
      </c>
      <c r="D245" s="224" t="s">
        <v>55</v>
      </c>
      <c r="E245" s="223">
        <v>500</v>
      </c>
      <c r="F245" s="22" t="s">
        <v>489</v>
      </c>
    </row>
    <row r="246" spans="1:6" outlineLevel="1" x14ac:dyDescent="0.2">
      <c r="A246" s="52">
        <v>3</v>
      </c>
      <c r="B246" s="56" t="s">
        <v>663</v>
      </c>
      <c r="C246" s="22" t="s">
        <v>490</v>
      </c>
      <c r="D246" s="224" t="s">
        <v>491</v>
      </c>
      <c r="E246" s="223">
        <v>1000</v>
      </c>
      <c r="F246" s="22" t="s">
        <v>492</v>
      </c>
    </row>
    <row r="247" spans="1:6" ht="31.5" outlineLevel="1" x14ac:dyDescent="0.2">
      <c r="A247" s="52">
        <v>4</v>
      </c>
      <c r="B247" s="56" t="s">
        <v>664</v>
      </c>
      <c r="C247" s="22" t="s">
        <v>493</v>
      </c>
      <c r="D247" s="224" t="s">
        <v>491</v>
      </c>
      <c r="E247" s="223">
        <v>2000</v>
      </c>
      <c r="F247" s="22" t="s">
        <v>494</v>
      </c>
    </row>
    <row r="248" spans="1:6" outlineLevel="1" x14ac:dyDescent="0.2">
      <c r="A248" s="52">
        <v>5</v>
      </c>
      <c r="B248" s="56"/>
      <c r="C248" s="22" t="s">
        <v>660</v>
      </c>
      <c r="D248" s="224" t="s">
        <v>736</v>
      </c>
      <c r="E248" s="223">
        <v>1500</v>
      </c>
      <c r="F248" s="22" t="s">
        <v>660</v>
      </c>
    </row>
    <row r="249" spans="1:6" ht="31.5" outlineLevel="1" x14ac:dyDescent="0.2">
      <c r="A249" s="52">
        <v>6</v>
      </c>
      <c r="B249" s="56"/>
      <c r="C249" s="22" t="s">
        <v>661</v>
      </c>
      <c r="D249" s="224" t="s">
        <v>662</v>
      </c>
      <c r="E249" s="223">
        <v>900</v>
      </c>
      <c r="F249" s="22" t="s">
        <v>661</v>
      </c>
    </row>
    <row r="250" spans="1:6" outlineLevel="1" x14ac:dyDescent="0.2">
      <c r="A250" s="52">
        <v>7</v>
      </c>
      <c r="B250" s="56" t="s">
        <v>665</v>
      </c>
      <c r="C250" s="22" t="s">
        <v>355</v>
      </c>
      <c r="D250" s="222" t="s">
        <v>56</v>
      </c>
      <c r="E250" s="223">
        <v>40</v>
      </c>
      <c r="F250" s="22" t="s">
        <v>354</v>
      </c>
    </row>
    <row r="251" spans="1:6" outlineLevel="1" x14ac:dyDescent="0.25">
      <c r="A251" s="52">
        <v>8</v>
      </c>
      <c r="B251" s="56" t="s">
        <v>666</v>
      </c>
      <c r="C251" s="22" t="s">
        <v>57</v>
      </c>
      <c r="D251" s="222" t="s">
        <v>56</v>
      </c>
      <c r="E251" s="223">
        <v>50</v>
      </c>
      <c r="F251" s="226" t="s">
        <v>357</v>
      </c>
    </row>
    <row r="252" spans="1:6" outlineLevel="1" x14ac:dyDescent="0.25">
      <c r="A252" s="52">
        <v>9</v>
      </c>
      <c r="B252" s="56" t="s">
        <v>666</v>
      </c>
      <c r="C252" s="22" t="s">
        <v>762</v>
      </c>
      <c r="D252" s="222" t="s">
        <v>59</v>
      </c>
      <c r="E252" s="223">
        <v>75</v>
      </c>
      <c r="F252" s="226" t="s">
        <v>357</v>
      </c>
    </row>
    <row r="253" spans="1:6" ht="47.25" outlineLevel="1" x14ac:dyDescent="0.2">
      <c r="A253" s="52">
        <v>10</v>
      </c>
      <c r="B253" s="56"/>
      <c r="C253" s="87" t="s">
        <v>475</v>
      </c>
      <c r="D253" s="255" t="s">
        <v>476</v>
      </c>
      <c r="E253" s="221">
        <v>40</v>
      </c>
      <c r="F253" s="256" t="s">
        <v>477</v>
      </c>
    </row>
    <row r="254" spans="1:6" ht="47.25" outlineLevel="1" x14ac:dyDescent="0.2">
      <c r="A254" s="246">
        <v>11</v>
      </c>
      <c r="B254" s="257"/>
      <c r="C254" s="24" t="s">
        <v>732</v>
      </c>
      <c r="D254" s="240" t="s">
        <v>36</v>
      </c>
      <c r="E254" s="221">
        <v>1000</v>
      </c>
      <c r="F254" s="241" t="s">
        <v>733</v>
      </c>
    </row>
    <row r="255" spans="1:6" ht="23.25" customHeight="1" x14ac:dyDescent="0.2">
      <c r="A255" s="298" t="s">
        <v>70</v>
      </c>
      <c r="B255" s="298"/>
      <c r="C255" s="298"/>
      <c r="D255" s="298"/>
      <c r="E255" s="298"/>
      <c r="F255" s="298"/>
    </row>
    <row r="256" spans="1:6" x14ac:dyDescent="0.2">
      <c r="C256" s="258"/>
      <c r="D256" s="259"/>
      <c r="E256" s="260"/>
      <c r="F256" s="258"/>
    </row>
    <row r="257" spans="2:6" x14ac:dyDescent="0.25">
      <c r="B257" s="261" t="s">
        <v>674</v>
      </c>
      <c r="C257" s="261"/>
      <c r="D257" s="259"/>
      <c r="E257" s="260"/>
      <c r="F257" s="262"/>
    </row>
    <row r="258" spans="2:6" x14ac:dyDescent="0.2">
      <c r="B258" s="263"/>
      <c r="C258" s="263"/>
      <c r="D258" s="263"/>
      <c r="E258" s="263"/>
      <c r="F258" s="263"/>
    </row>
    <row r="259" spans="2:6" x14ac:dyDescent="0.2">
      <c r="B259" s="158" t="s">
        <v>449</v>
      </c>
      <c r="D259" s="158"/>
      <c r="E259" s="264"/>
      <c r="F259" s="265" t="s">
        <v>431</v>
      </c>
    </row>
    <row r="260" spans="2:6" x14ac:dyDescent="0.2">
      <c r="C260" s="228"/>
      <c r="D260" s="158"/>
      <c r="E260" s="158"/>
      <c r="F260" s="266"/>
    </row>
    <row r="261" spans="2:6" x14ac:dyDescent="0.2">
      <c r="B261" s="228" t="s">
        <v>675</v>
      </c>
      <c r="C261" s="228"/>
      <c r="D261" s="158"/>
      <c r="E261" s="158"/>
      <c r="F261" s="264" t="s">
        <v>425</v>
      </c>
    </row>
    <row r="262" spans="2:6" x14ac:dyDescent="0.2">
      <c r="C262" s="228"/>
      <c r="D262" s="158"/>
      <c r="E262" s="158"/>
      <c r="F262" s="264"/>
    </row>
    <row r="263" spans="2:6" x14ac:dyDescent="0.2">
      <c r="B263" s="228" t="s">
        <v>743</v>
      </c>
      <c r="C263" s="228"/>
      <c r="D263" s="158"/>
      <c r="E263" s="158"/>
      <c r="F263" s="264" t="s">
        <v>744</v>
      </c>
    </row>
    <row r="264" spans="2:6" x14ac:dyDescent="0.2">
      <c r="C264" s="228"/>
      <c r="D264" s="158"/>
      <c r="E264" s="158"/>
      <c r="F264" s="266"/>
    </row>
    <row r="265" spans="2:6" x14ac:dyDescent="0.2">
      <c r="B265" s="228" t="s">
        <v>426</v>
      </c>
      <c r="C265" s="228"/>
      <c r="D265" s="158"/>
      <c r="E265" s="158"/>
      <c r="F265" s="264" t="s">
        <v>676</v>
      </c>
    </row>
    <row r="266" spans="2:6" x14ac:dyDescent="0.2">
      <c r="C266" s="228"/>
      <c r="D266" s="158"/>
      <c r="E266" s="158"/>
      <c r="F266" s="264"/>
    </row>
    <row r="267" spans="2:6" x14ac:dyDescent="0.2">
      <c r="B267" s="228" t="s">
        <v>763</v>
      </c>
      <c r="C267" s="228"/>
      <c r="D267" s="158"/>
      <c r="E267" s="158"/>
      <c r="F267" s="264" t="s">
        <v>764</v>
      </c>
    </row>
    <row r="268" spans="2:6" x14ac:dyDescent="0.2">
      <c r="C268" s="228"/>
      <c r="D268" s="158"/>
      <c r="E268" s="158"/>
      <c r="F268" s="266"/>
    </row>
    <row r="269" spans="2:6" x14ac:dyDescent="0.2">
      <c r="B269" s="228" t="s">
        <v>434</v>
      </c>
      <c r="C269" s="228"/>
      <c r="D269" s="158"/>
      <c r="E269" s="158"/>
      <c r="F269" s="264" t="s">
        <v>448</v>
      </c>
    </row>
    <row r="270" spans="2:6" x14ac:dyDescent="0.2">
      <c r="C270" s="228"/>
      <c r="D270" s="158"/>
      <c r="E270" s="158"/>
      <c r="F270" s="266"/>
    </row>
    <row r="271" spans="2:6" x14ac:dyDescent="0.2">
      <c r="B271" s="158" t="s">
        <v>436</v>
      </c>
      <c r="D271" s="158"/>
      <c r="E271" s="264"/>
      <c r="F271" s="158" t="s">
        <v>450</v>
      </c>
    </row>
    <row r="272" spans="2:6" x14ac:dyDescent="0.2">
      <c r="D272" s="158"/>
      <c r="E272" s="264"/>
    </row>
    <row r="273" spans="3:6" x14ac:dyDescent="0.2">
      <c r="C273" s="267"/>
      <c r="D273" s="267"/>
      <c r="E273" s="268"/>
      <c r="F273" s="267"/>
    </row>
    <row r="274" spans="3:6" x14ac:dyDescent="0.2">
      <c r="C274" s="267"/>
      <c r="D274" s="267"/>
      <c r="E274" s="268"/>
      <c r="F274" s="267"/>
    </row>
    <row r="275" spans="3:6" x14ac:dyDescent="0.2">
      <c r="C275" s="267"/>
      <c r="D275" s="267"/>
      <c r="E275" s="268"/>
      <c r="F275" s="267"/>
    </row>
    <row r="276" spans="3:6" x14ac:dyDescent="0.2">
      <c r="C276" s="267"/>
      <c r="D276" s="267"/>
      <c r="E276" s="268"/>
      <c r="F276" s="267"/>
    </row>
    <row r="277" spans="3:6" x14ac:dyDescent="0.2">
      <c r="C277" s="267"/>
      <c r="D277" s="267"/>
      <c r="E277" s="268"/>
      <c r="F277" s="267"/>
    </row>
    <row r="278" spans="3:6" x14ac:dyDescent="0.2">
      <c r="C278" s="267"/>
      <c r="D278" s="269"/>
      <c r="E278" s="268"/>
      <c r="F278" s="267"/>
    </row>
    <row r="279" spans="3:6" x14ac:dyDescent="0.2">
      <c r="C279" s="267"/>
      <c r="D279" s="269"/>
      <c r="E279" s="270"/>
      <c r="F279" s="267"/>
    </row>
    <row r="280" spans="3:6" x14ac:dyDescent="0.2">
      <c r="C280" s="267"/>
      <c r="D280" s="271"/>
      <c r="E280" s="268"/>
      <c r="F280" s="267"/>
    </row>
    <row r="281" spans="3:6" x14ac:dyDescent="0.2">
      <c r="C281" s="267"/>
      <c r="D281" s="267"/>
      <c r="E281" s="272"/>
      <c r="F281" s="267"/>
    </row>
    <row r="282" spans="3:6" x14ac:dyDescent="0.2">
      <c r="C282" s="267"/>
      <c r="D282" s="267"/>
      <c r="E282" s="273"/>
      <c r="F282" s="267"/>
    </row>
  </sheetData>
  <autoFilter ref="A11:F146" xr:uid="{00000000-0009-0000-0000-000000000000}"/>
  <mergeCells count="50">
    <mergeCell ref="A255:F255"/>
    <mergeCell ref="A35:F35"/>
    <mergeCell ref="A56:F56"/>
    <mergeCell ref="A7:F7"/>
    <mergeCell ref="A8:F8"/>
    <mergeCell ref="A9:F9"/>
    <mergeCell ref="A10:F10"/>
    <mergeCell ref="A12:F12"/>
    <mergeCell ref="A161:A164"/>
    <mergeCell ref="B161:C161"/>
    <mergeCell ref="B83:B84"/>
    <mergeCell ref="C83:C84"/>
    <mergeCell ref="F83:F84"/>
    <mergeCell ref="B95:E95"/>
    <mergeCell ref="A109:F109"/>
    <mergeCell ref="F101:F105"/>
    <mergeCell ref="A123:F123"/>
    <mergeCell ref="C124:C125"/>
    <mergeCell ref="B124:B125"/>
    <mergeCell ref="F126:F128"/>
    <mergeCell ref="D161:D164"/>
    <mergeCell ref="E161:E164"/>
    <mergeCell ref="F161:F164"/>
    <mergeCell ref="A131:F131"/>
    <mergeCell ref="C156:F156"/>
    <mergeCell ref="A156:A160"/>
    <mergeCell ref="B156:B160"/>
    <mergeCell ref="A150:F150"/>
    <mergeCell ref="A132:F132"/>
    <mergeCell ref="A243:F243"/>
    <mergeCell ref="A168:F168"/>
    <mergeCell ref="A169:A172"/>
    <mergeCell ref="A173:A176"/>
    <mergeCell ref="B169:F169"/>
    <mergeCell ref="B173:F173"/>
    <mergeCell ref="B170:B172"/>
    <mergeCell ref="B174:B176"/>
    <mergeCell ref="A177:F177"/>
    <mergeCell ref="A178:F178"/>
    <mergeCell ref="A186:F186"/>
    <mergeCell ref="A197:F197"/>
    <mergeCell ref="A217:F217"/>
    <mergeCell ref="A227:F227"/>
    <mergeCell ref="A237:F237"/>
    <mergeCell ref="A232:F232"/>
    <mergeCell ref="A235:F235"/>
    <mergeCell ref="A222:F222"/>
    <mergeCell ref="C151:F151"/>
    <mergeCell ref="B151:B155"/>
    <mergeCell ref="A151:A15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8" orientation="portrait" r:id="rId1"/>
  <headerFooter alignWithMargins="0"/>
  <rowBreaks count="1" manualBreakCount="1">
    <brk id="19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48B9-5295-403A-B887-C77906750900}">
  <dimension ref="A1"/>
  <sheetViews>
    <sheetView workbookViewId="0">
      <selection activeCell="A10" sqref="A10:XFD21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indexed="13"/>
    <pageSetUpPr fitToPage="1"/>
  </sheetPr>
  <dimension ref="A1:AG418"/>
  <sheetViews>
    <sheetView view="pageBreakPreview" topLeftCell="C139" zoomScale="90" zoomScaleNormal="100" zoomScaleSheetLayoutView="90" workbookViewId="0">
      <selection activeCell="F390" sqref="A1:F390"/>
    </sheetView>
  </sheetViews>
  <sheetFormatPr defaultRowHeight="15.75" outlineLevelRow="1" x14ac:dyDescent="0.2"/>
  <cols>
    <col min="1" max="1" width="6.28515625" style="1" hidden="1" customWidth="1"/>
    <col min="2" max="2" width="13.42578125" style="46" hidden="1" customWidth="1"/>
    <col min="3" max="3" width="42.28515625" style="1" customWidth="1"/>
    <col min="4" max="4" width="18.42578125" style="7" customWidth="1"/>
    <col min="5" max="5" width="13.42578125" style="20" customWidth="1"/>
    <col min="6" max="6" width="59.42578125" style="1" customWidth="1"/>
    <col min="7" max="7" width="20.28515625" style="1" hidden="1" customWidth="1"/>
    <col min="8" max="8" width="9.140625" style="1" hidden="1" customWidth="1"/>
    <col min="9" max="9" width="11.5703125" style="1" hidden="1" customWidth="1"/>
    <col min="10" max="14" width="9.140625" style="1" hidden="1" customWidth="1"/>
    <col min="15" max="15" width="15.28515625" style="7" hidden="1" customWidth="1"/>
    <col min="16" max="16" width="11.140625" style="158" hidden="1" customWidth="1"/>
    <col min="17" max="17" width="0" style="125" hidden="1" customWidth="1"/>
    <col min="18" max="18" width="12.42578125" style="125" hidden="1" customWidth="1"/>
    <col min="19" max="19" width="12.28515625" style="125" hidden="1" customWidth="1"/>
    <col min="20" max="20" width="12.42578125" style="125" hidden="1" customWidth="1"/>
    <col min="21" max="21" width="13.28515625" style="125" hidden="1" customWidth="1"/>
    <col min="22" max="22" width="0" style="169" hidden="1" customWidth="1"/>
    <col min="23" max="25" width="0" style="125" hidden="1" customWidth="1"/>
    <col min="26" max="26" width="11.42578125" style="158" hidden="1" customWidth="1"/>
    <col min="27" max="31" width="0" style="125" hidden="1" customWidth="1"/>
    <col min="32" max="32" width="0" style="1" hidden="1" customWidth="1"/>
    <col min="33" max="16384" width="9.140625" style="1"/>
  </cols>
  <sheetData>
    <row r="1" spans="1:32" x14ac:dyDescent="0.2">
      <c r="E1" s="13"/>
      <c r="F1" s="95" t="s">
        <v>0</v>
      </c>
    </row>
    <row r="2" spans="1:32" x14ac:dyDescent="0.2">
      <c r="E2" s="13"/>
      <c r="F2" s="95" t="s">
        <v>86</v>
      </c>
    </row>
    <row r="3" spans="1:32" x14ac:dyDescent="0.2">
      <c r="E3" s="13"/>
      <c r="F3" s="95" t="s">
        <v>87</v>
      </c>
    </row>
    <row r="4" spans="1:32" x14ac:dyDescent="0.2">
      <c r="E4" s="13"/>
      <c r="F4" s="95" t="s">
        <v>386</v>
      </c>
    </row>
    <row r="5" spans="1:32" x14ac:dyDescent="0.2">
      <c r="E5" s="13"/>
      <c r="F5" s="95" t="s">
        <v>515</v>
      </c>
    </row>
    <row r="6" spans="1:32" x14ac:dyDescent="0.2">
      <c r="D6" s="12"/>
      <c r="E6" s="13"/>
    </row>
    <row r="7" spans="1:32" x14ac:dyDescent="0.2">
      <c r="A7" s="310" t="s">
        <v>1</v>
      </c>
      <c r="B7" s="310"/>
      <c r="C7" s="310"/>
      <c r="D7" s="310"/>
      <c r="E7" s="310"/>
      <c r="F7" s="310"/>
    </row>
    <row r="8" spans="1:32" x14ac:dyDescent="0.2">
      <c r="A8" s="310" t="s">
        <v>2</v>
      </c>
      <c r="B8" s="310"/>
      <c r="C8" s="310"/>
      <c r="D8" s="310"/>
      <c r="E8" s="310"/>
      <c r="F8" s="310"/>
    </row>
    <row r="9" spans="1:32" x14ac:dyDescent="0.2">
      <c r="A9" s="310" t="s">
        <v>3</v>
      </c>
      <c r="B9" s="310"/>
      <c r="C9" s="310"/>
      <c r="D9" s="310"/>
      <c r="E9" s="310"/>
      <c r="F9" s="310"/>
    </row>
    <row r="10" spans="1:32" x14ac:dyDescent="0.2">
      <c r="A10" s="310" t="s">
        <v>591</v>
      </c>
      <c r="B10" s="310"/>
      <c r="C10" s="310"/>
      <c r="D10" s="310"/>
      <c r="E10" s="310"/>
      <c r="F10" s="310"/>
    </row>
    <row r="11" spans="1:32" ht="15" customHeight="1" x14ac:dyDescent="0.2">
      <c r="A11" s="7"/>
      <c r="C11" s="9"/>
      <c r="D11" s="9"/>
      <c r="E11" s="14"/>
      <c r="F11" s="9"/>
      <c r="O11" s="157">
        <v>3108735</v>
      </c>
    </row>
    <row r="12" spans="1:32" ht="72" customHeight="1" x14ac:dyDescent="0.2">
      <c r="A12" s="8" t="s">
        <v>4</v>
      </c>
      <c r="B12" s="38" t="s">
        <v>117</v>
      </c>
      <c r="C12" s="8" t="s">
        <v>5</v>
      </c>
      <c r="D12" s="8" t="s">
        <v>6</v>
      </c>
      <c r="E12" s="15" t="s">
        <v>473</v>
      </c>
      <c r="F12" s="115" t="s">
        <v>273</v>
      </c>
      <c r="G12" s="115" t="s">
        <v>474</v>
      </c>
      <c r="H12" s="144">
        <v>43647</v>
      </c>
      <c r="I12" s="145">
        <v>43678</v>
      </c>
      <c r="J12" s="145">
        <v>43709</v>
      </c>
      <c r="K12" s="145">
        <v>43739</v>
      </c>
      <c r="L12" s="145">
        <v>43770</v>
      </c>
      <c r="M12" s="145">
        <v>43800</v>
      </c>
      <c r="N12" s="145">
        <v>43831</v>
      </c>
      <c r="O12" s="145">
        <v>43862</v>
      </c>
      <c r="P12" s="145">
        <v>43891</v>
      </c>
      <c r="R12" s="129" t="s">
        <v>543</v>
      </c>
      <c r="S12" s="129" t="s">
        <v>524</v>
      </c>
      <c r="T12" s="129" t="s">
        <v>525</v>
      </c>
      <c r="U12" s="129" t="s">
        <v>526</v>
      </c>
      <c r="V12" s="170" t="s">
        <v>527</v>
      </c>
      <c r="W12" s="129" t="s">
        <v>528</v>
      </c>
      <c r="X12" s="129" t="s">
        <v>529</v>
      </c>
      <c r="Y12" s="129" t="s">
        <v>530</v>
      </c>
      <c r="Z12" s="168" t="s">
        <v>531</v>
      </c>
      <c r="AA12" s="129" t="s">
        <v>532</v>
      </c>
      <c r="AB12" s="129" t="s">
        <v>533</v>
      </c>
      <c r="AC12" s="129" t="s">
        <v>534</v>
      </c>
      <c r="AD12" s="302" t="s">
        <v>541</v>
      </c>
      <c r="AE12" s="303"/>
      <c r="AF12" s="304"/>
    </row>
    <row r="13" spans="1:32" ht="23.25" x14ac:dyDescent="0.2">
      <c r="A13" s="314" t="s">
        <v>8</v>
      </c>
      <c r="B13" s="315"/>
      <c r="C13" s="315"/>
      <c r="D13" s="315"/>
      <c r="E13" s="315"/>
      <c r="F13" s="315"/>
      <c r="G13" s="146"/>
      <c r="H13" s="129"/>
      <c r="I13" s="129"/>
      <c r="J13" s="129"/>
      <c r="K13" s="129"/>
      <c r="L13" s="129"/>
      <c r="M13" s="129"/>
      <c r="N13" s="129"/>
      <c r="O13" s="154"/>
      <c r="P13" s="52"/>
      <c r="R13" s="129"/>
      <c r="S13" s="129"/>
      <c r="T13" s="129"/>
      <c r="U13" s="129"/>
      <c r="V13" s="170"/>
      <c r="W13" s="129"/>
      <c r="X13" s="129"/>
      <c r="Y13" s="129"/>
      <c r="Z13" s="168"/>
      <c r="AA13" s="129"/>
      <c r="AB13" s="129"/>
      <c r="AC13" s="129"/>
      <c r="AD13" s="129"/>
      <c r="AE13" s="129"/>
      <c r="AF13" s="129"/>
    </row>
    <row r="14" spans="1:32" s="125" customFormat="1" ht="31.5" x14ac:dyDescent="0.2">
      <c r="A14" s="178"/>
      <c r="B14" s="179"/>
      <c r="C14" s="197" t="s">
        <v>544</v>
      </c>
      <c r="D14" s="198" t="s">
        <v>9</v>
      </c>
      <c r="E14" s="198">
        <v>1000</v>
      </c>
      <c r="F14" s="198" t="s">
        <v>545</v>
      </c>
      <c r="G14" s="146"/>
      <c r="H14" s="129"/>
      <c r="I14" s="129"/>
      <c r="J14" s="129"/>
      <c r="K14" s="129"/>
      <c r="L14" s="129"/>
      <c r="M14" s="129"/>
      <c r="N14" s="129"/>
      <c r="O14" s="154"/>
      <c r="P14" s="52"/>
      <c r="R14" s="129"/>
      <c r="S14" s="129"/>
      <c r="T14" s="129"/>
      <c r="U14" s="129"/>
      <c r="V14" s="170"/>
      <c r="W14" s="129"/>
      <c r="X14" s="129"/>
      <c r="Y14" s="129"/>
      <c r="Z14" s="168"/>
      <c r="AA14" s="129"/>
      <c r="AB14" s="129"/>
      <c r="AC14" s="129"/>
      <c r="AD14" s="129"/>
      <c r="AE14" s="129"/>
      <c r="AF14" s="129"/>
    </row>
    <row r="15" spans="1:32" s="125" customFormat="1" ht="47.25" x14ac:dyDescent="0.2">
      <c r="A15" s="178"/>
      <c r="B15" s="179"/>
      <c r="C15" s="197" t="s">
        <v>546</v>
      </c>
      <c r="D15" s="198" t="s">
        <v>9</v>
      </c>
      <c r="E15" s="198">
        <v>1500</v>
      </c>
      <c r="F15" s="198" t="s">
        <v>545</v>
      </c>
      <c r="G15" s="146"/>
      <c r="H15" s="129"/>
      <c r="I15" s="129"/>
      <c r="J15" s="129"/>
      <c r="K15" s="129"/>
      <c r="L15" s="129"/>
      <c r="M15" s="129"/>
      <c r="N15" s="129"/>
      <c r="O15" s="154"/>
      <c r="P15" s="52"/>
      <c r="R15" s="129"/>
      <c r="S15" s="129"/>
      <c r="T15" s="129"/>
      <c r="U15" s="129"/>
      <c r="V15" s="170"/>
      <c r="W15" s="129"/>
      <c r="X15" s="129"/>
      <c r="Y15" s="129"/>
      <c r="Z15" s="168"/>
      <c r="AA15" s="129"/>
      <c r="AB15" s="129"/>
      <c r="AC15" s="129"/>
      <c r="AD15" s="129"/>
      <c r="AE15" s="129"/>
      <c r="AF15" s="129"/>
    </row>
    <row r="16" spans="1:32" ht="31.5" outlineLevel="1" x14ac:dyDescent="0.2">
      <c r="A16" s="23">
        <v>1</v>
      </c>
      <c r="B16" s="79" t="s">
        <v>127</v>
      </c>
      <c r="C16" s="2" t="s">
        <v>125</v>
      </c>
      <c r="D16" s="3" t="s">
        <v>9</v>
      </c>
      <c r="E16" s="17">
        <v>800</v>
      </c>
      <c r="F16" s="4" t="s">
        <v>125</v>
      </c>
      <c r="G16" s="146"/>
      <c r="H16" s="153">
        <v>9600</v>
      </c>
      <c r="I16" s="154">
        <v>7150</v>
      </c>
      <c r="J16" s="154">
        <v>2400</v>
      </c>
      <c r="K16" s="154">
        <v>2400</v>
      </c>
      <c r="L16" s="154">
        <v>1600</v>
      </c>
      <c r="M16" s="154">
        <v>4800</v>
      </c>
      <c r="N16" s="154">
        <v>800</v>
      </c>
      <c r="O16" s="153">
        <f>3200+120</f>
        <v>3320</v>
      </c>
      <c r="P16" s="153">
        <f>1600+60</f>
        <v>1660</v>
      </c>
      <c r="R16" s="129">
        <v>500</v>
      </c>
      <c r="S16" s="129">
        <v>1000</v>
      </c>
      <c r="T16" s="129">
        <v>900</v>
      </c>
      <c r="U16" s="129">
        <v>1050</v>
      </c>
      <c r="V16" s="170">
        <v>900</v>
      </c>
      <c r="W16" s="129">
        <v>1350</v>
      </c>
      <c r="X16" s="129">
        <v>1200</v>
      </c>
      <c r="Y16" s="129">
        <v>1200</v>
      </c>
      <c r="Z16" s="168">
        <v>1350</v>
      </c>
      <c r="AA16" s="129">
        <v>700</v>
      </c>
      <c r="AB16" s="129">
        <v>1100</v>
      </c>
      <c r="AC16" s="129">
        <v>900</v>
      </c>
      <c r="AD16" s="129"/>
      <c r="AE16" s="129"/>
      <c r="AF16" s="129"/>
    </row>
    <row r="17" spans="1:32" ht="31.5" outlineLevel="1" x14ac:dyDescent="0.2">
      <c r="A17" s="55">
        <v>2</v>
      </c>
      <c r="B17" s="79" t="s">
        <v>119</v>
      </c>
      <c r="C17" s="2" t="s">
        <v>118</v>
      </c>
      <c r="D17" s="3" t="s">
        <v>9</v>
      </c>
      <c r="E17" s="17">
        <v>1000</v>
      </c>
      <c r="F17" s="4" t="s">
        <v>118</v>
      </c>
      <c r="G17" s="146"/>
      <c r="H17" s="153"/>
      <c r="I17" s="154">
        <v>11000</v>
      </c>
      <c r="J17" s="154">
        <v>12000</v>
      </c>
      <c r="K17" s="154">
        <f>3000+3000</f>
        <v>6000</v>
      </c>
      <c r="L17" s="154">
        <v>8000</v>
      </c>
      <c r="M17" s="154"/>
      <c r="N17" s="154"/>
      <c r="O17" s="153"/>
      <c r="P17" s="153"/>
      <c r="R17" s="129">
        <v>700</v>
      </c>
      <c r="S17" s="163">
        <v>1000</v>
      </c>
      <c r="T17" s="163">
        <v>900</v>
      </c>
      <c r="U17" s="165">
        <v>1000</v>
      </c>
      <c r="V17" s="171">
        <v>1000</v>
      </c>
      <c r="W17" s="165"/>
      <c r="X17" s="166"/>
      <c r="Y17" s="129"/>
      <c r="Z17" s="168">
        <v>1350</v>
      </c>
      <c r="AA17" s="129">
        <v>700</v>
      </c>
      <c r="AB17" s="129"/>
      <c r="AC17" s="129">
        <v>900</v>
      </c>
      <c r="AD17" s="129"/>
      <c r="AE17" s="129"/>
      <c r="AF17" s="129"/>
    </row>
    <row r="18" spans="1:32" ht="31.5" outlineLevel="1" x14ac:dyDescent="0.2">
      <c r="A18" s="55">
        <v>3</v>
      </c>
      <c r="B18" s="79" t="s">
        <v>121</v>
      </c>
      <c r="C18" s="2" t="s">
        <v>120</v>
      </c>
      <c r="D18" s="3" t="s">
        <v>9</v>
      </c>
      <c r="E18" s="17">
        <v>900</v>
      </c>
      <c r="F18" s="4" t="s">
        <v>120</v>
      </c>
      <c r="G18" s="146"/>
      <c r="H18" s="153"/>
      <c r="I18" s="154">
        <v>9000</v>
      </c>
      <c r="J18" s="154">
        <v>7200</v>
      </c>
      <c r="K18" s="154">
        <v>17100</v>
      </c>
      <c r="L18" s="154">
        <v>9000</v>
      </c>
      <c r="M18" s="154">
        <v>8910</v>
      </c>
      <c r="N18" s="154">
        <v>3600</v>
      </c>
      <c r="O18" s="153">
        <v>7200</v>
      </c>
      <c r="P18" s="161">
        <v>7200</v>
      </c>
      <c r="R18" s="129"/>
      <c r="S18" s="163"/>
      <c r="T18" s="163"/>
      <c r="U18" s="165"/>
      <c r="V18" s="171" t="s">
        <v>538</v>
      </c>
      <c r="W18" s="165"/>
      <c r="X18" s="167"/>
      <c r="Y18" s="129"/>
      <c r="Z18" s="168"/>
      <c r="AA18" s="129"/>
      <c r="AB18" s="129"/>
      <c r="AC18" s="129"/>
      <c r="AD18" s="129">
        <v>1000</v>
      </c>
      <c r="AE18" s="129">
        <v>1200</v>
      </c>
      <c r="AF18" s="129"/>
    </row>
    <row r="19" spans="1:32" ht="31.5" outlineLevel="1" x14ac:dyDescent="0.2">
      <c r="A19" s="55">
        <v>4</v>
      </c>
      <c r="B19" s="79" t="s">
        <v>137</v>
      </c>
      <c r="C19" s="2" t="s">
        <v>136</v>
      </c>
      <c r="D19" s="3" t="s">
        <v>9</v>
      </c>
      <c r="E19" s="17">
        <v>800</v>
      </c>
      <c r="F19" s="4" t="s">
        <v>136</v>
      </c>
      <c r="G19" s="146"/>
      <c r="H19" s="153"/>
      <c r="I19" s="154"/>
      <c r="J19" s="154"/>
      <c r="K19" s="154"/>
      <c r="L19" s="154"/>
      <c r="M19" s="154"/>
      <c r="N19" s="154"/>
      <c r="O19" s="153"/>
      <c r="P19" s="153">
        <v>800</v>
      </c>
      <c r="R19" s="129">
        <v>600</v>
      </c>
      <c r="S19" s="163">
        <v>1000</v>
      </c>
      <c r="T19" s="163"/>
      <c r="U19" s="165"/>
      <c r="V19" s="171" t="s">
        <v>538</v>
      </c>
      <c r="W19" s="165"/>
      <c r="X19" s="167"/>
      <c r="Y19" s="129"/>
      <c r="Z19" s="168"/>
      <c r="AA19" s="129"/>
      <c r="AB19" s="129"/>
      <c r="AC19" s="129"/>
      <c r="AD19" s="129"/>
      <c r="AE19" s="129"/>
      <c r="AF19" s="129"/>
    </row>
    <row r="20" spans="1:32" ht="31.5" outlineLevel="1" x14ac:dyDescent="0.2">
      <c r="A20" s="3">
        <v>5</v>
      </c>
      <c r="B20" s="79" t="s">
        <v>141</v>
      </c>
      <c r="C20" s="2" t="s">
        <v>140</v>
      </c>
      <c r="D20" s="3" t="s">
        <v>9</v>
      </c>
      <c r="E20" s="17">
        <v>700</v>
      </c>
      <c r="F20" s="4" t="s">
        <v>140</v>
      </c>
      <c r="G20" s="146"/>
      <c r="H20" s="153"/>
      <c r="I20" s="154"/>
      <c r="J20" s="154"/>
      <c r="K20" s="154"/>
      <c r="L20" s="154"/>
      <c r="M20" s="154">
        <v>700</v>
      </c>
      <c r="N20" s="154">
        <v>2100</v>
      </c>
      <c r="O20" s="153">
        <v>1400</v>
      </c>
      <c r="P20" s="153">
        <v>700</v>
      </c>
      <c r="R20" s="129">
        <v>500</v>
      </c>
      <c r="S20" s="163">
        <v>1000</v>
      </c>
      <c r="T20" s="163"/>
      <c r="U20" s="165"/>
      <c r="V20" s="171"/>
      <c r="W20" s="165"/>
      <c r="X20" s="166"/>
      <c r="Y20" s="129"/>
      <c r="Z20" s="168"/>
      <c r="AA20" s="129"/>
      <c r="AB20" s="129"/>
      <c r="AC20" s="129"/>
      <c r="AD20" s="129">
        <v>1200</v>
      </c>
      <c r="AE20" s="129">
        <v>950</v>
      </c>
      <c r="AF20" s="129"/>
    </row>
    <row r="21" spans="1:32" ht="31.5" outlineLevel="1" x14ac:dyDescent="0.2">
      <c r="A21" s="3">
        <v>6</v>
      </c>
      <c r="B21" s="79" t="s">
        <v>126</v>
      </c>
      <c r="C21" s="2" t="s">
        <v>124</v>
      </c>
      <c r="D21" s="3" t="s">
        <v>9</v>
      </c>
      <c r="E21" s="17">
        <v>800</v>
      </c>
      <c r="F21" s="4" t="s">
        <v>124</v>
      </c>
      <c r="G21" s="146"/>
      <c r="H21" s="153"/>
      <c r="I21" s="154"/>
      <c r="J21" s="154"/>
      <c r="K21" s="154">
        <v>1500</v>
      </c>
      <c r="L21" s="154"/>
      <c r="M21" s="154"/>
      <c r="N21" s="154"/>
      <c r="O21" s="153"/>
      <c r="P21" s="153"/>
      <c r="R21" s="129"/>
      <c r="S21" s="163">
        <v>1000</v>
      </c>
      <c r="T21" s="163"/>
      <c r="U21" s="165"/>
      <c r="V21" s="171" t="s">
        <v>538</v>
      </c>
      <c r="W21" s="165"/>
      <c r="X21" s="167"/>
      <c r="Y21" s="129"/>
      <c r="Z21" s="168"/>
      <c r="AA21" s="129"/>
      <c r="AB21" s="129"/>
      <c r="AC21" s="129"/>
      <c r="AD21" s="129">
        <v>1200</v>
      </c>
      <c r="AE21" s="129">
        <v>1500</v>
      </c>
      <c r="AF21" s="129"/>
    </row>
    <row r="22" spans="1:32" ht="31.5" outlineLevel="1" x14ac:dyDescent="0.2">
      <c r="A22" s="3">
        <v>7</v>
      </c>
      <c r="B22" s="79" t="s">
        <v>145</v>
      </c>
      <c r="C22" s="2" t="s">
        <v>144</v>
      </c>
      <c r="D22" s="3" t="s">
        <v>9</v>
      </c>
      <c r="E22" s="17">
        <v>900</v>
      </c>
      <c r="F22" s="4" t="s">
        <v>144</v>
      </c>
      <c r="G22" s="146"/>
      <c r="H22" s="153"/>
      <c r="I22" s="154"/>
      <c r="J22" s="154"/>
      <c r="K22" s="154"/>
      <c r="L22" s="154"/>
      <c r="M22" s="154">
        <v>900</v>
      </c>
      <c r="N22" s="154">
        <v>1000</v>
      </c>
      <c r="O22" s="153"/>
      <c r="P22" s="153"/>
      <c r="R22" s="129"/>
      <c r="S22" s="129">
        <v>1000</v>
      </c>
      <c r="T22" s="129"/>
      <c r="U22" s="129"/>
      <c r="V22" s="170"/>
      <c r="W22" s="129"/>
      <c r="X22" s="129"/>
      <c r="Y22" s="129"/>
      <c r="Z22" s="168"/>
      <c r="AA22" s="129"/>
      <c r="AB22" s="129"/>
      <c r="AC22" s="129"/>
      <c r="AD22" s="129">
        <v>900</v>
      </c>
      <c r="AE22" s="129">
        <v>1500</v>
      </c>
      <c r="AF22" s="129"/>
    </row>
    <row r="23" spans="1:32" ht="47.25" outlineLevel="1" x14ac:dyDescent="0.2">
      <c r="A23" s="3">
        <v>8</v>
      </c>
      <c r="B23" s="105" t="s">
        <v>149</v>
      </c>
      <c r="C23" s="2" t="s">
        <v>498</v>
      </c>
      <c r="D23" s="3" t="s">
        <v>9</v>
      </c>
      <c r="E23" s="17">
        <v>900</v>
      </c>
      <c r="F23" s="4" t="s">
        <v>498</v>
      </c>
      <c r="G23" s="146"/>
      <c r="H23" s="153">
        <v>2700</v>
      </c>
      <c r="I23" s="154">
        <v>2700</v>
      </c>
      <c r="J23" s="154">
        <v>1800</v>
      </c>
      <c r="K23" s="154"/>
      <c r="L23" s="154"/>
      <c r="M23" s="154">
        <v>1800</v>
      </c>
      <c r="N23" s="154">
        <v>2700</v>
      </c>
      <c r="O23" s="153">
        <v>1800</v>
      </c>
      <c r="P23" s="153"/>
      <c r="R23" s="129"/>
      <c r="S23" s="129">
        <v>1000</v>
      </c>
      <c r="T23" s="129"/>
      <c r="U23" s="129"/>
      <c r="V23" s="170" t="s">
        <v>538</v>
      </c>
      <c r="W23" s="129"/>
      <c r="X23" s="129" t="s">
        <v>542</v>
      </c>
      <c r="Y23" s="129"/>
      <c r="Z23" s="168">
        <v>1200</v>
      </c>
      <c r="AA23" s="129"/>
      <c r="AB23" s="129"/>
      <c r="AC23" s="129"/>
      <c r="AD23" s="129">
        <v>1200</v>
      </c>
      <c r="AE23" s="129"/>
      <c r="AF23" s="129"/>
    </row>
    <row r="24" spans="1:32" s="125" customFormat="1" ht="31.5" outlineLevel="1" x14ac:dyDescent="0.2">
      <c r="A24" s="131">
        <v>9</v>
      </c>
      <c r="B24" s="130" t="s">
        <v>149</v>
      </c>
      <c r="C24" s="126" t="s">
        <v>497</v>
      </c>
      <c r="D24" s="127" t="s">
        <v>9</v>
      </c>
      <c r="E24" s="128">
        <v>2000</v>
      </c>
      <c r="F24" s="4" t="s">
        <v>497</v>
      </c>
      <c r="G24" s="146"/>
      <c r="H24" s="153"/>
      <c r="I24" s="154"/>
      <c r="J24" s="154"/>
      <c r="K24" s="154"/>
      <c r="L24" s="154"/>
      <c r="M24" s="154"/>
      <c r="N24" s="154"/>
      <c r="O24" s="153">
        <v>11800</v>
      </c>
      <c r="P24" s="153">
        <v>4000</v>
      </c>
      <c r="R24" s="129"/>
      <c r="S24" s="129"/>
      <c r="T24" s="129"/>
      <c r="U24" s="129"/>
      <c r="V24" s="170"/>
      <c r="W24" s="129">
        <v>2000</v>
      </c>
      <c r="X24" s="129"/>
      <c r="Y24" s="129"/>
      <c r="Z24" s="168"/>
      <c r="AA24" s="129"/>
      <c r="AB24" s="129"/>
      <c r="AC24" s="129"/>
      <c r="AD24" s="129"/>
      <c r="AE24" s="129"/>
      <c r="AF24" s="129"/>
    </row>
    <row r="25" spans="1:32" ht="31.5" outlineLevel="1" x14ac:dyDescent="0.2">
      <c r="A25" s="98">
        <v>10</v>
      </c>
      <c r="B25" s="50" t="s">
        <v>153</v>
      </c>
      <c r="C25" s="2" t="s">
        <v>152</v>
      </c>
      <c r="D25" s="3" t="s">
        <v>9</v>
      </c>
      <c r="E25" s="17">
        <v>900</v>
      </c>
      <c r="F25" s="4" t="s">
        <v>152</v>
      </c>
      <c r="G25" s="146"/>
      <c r="H25" s="153"/>
      <c r="I25" s="154">
        <v>1800</v>
      </c>
      <c r="J25" s="154">
        <v>5400</v>
      </c>
      <c r="K25" s="154">
        <v>5400</v>
      </c>
      <c r="L25" s="154">
        <v>3510</v>
      </c>
      <c r="M25" s="154">
        <v>2700</v>
      </c>
      <c r="N25" s="154">
        <v>1800</v>
      </c>
      <c r="O25" s="153">
        <v>1800</v>
      </c>
      <c r="P25" s="153"/>
      <c r="R25" s="129"/>
      <c r="S25" s="129"/>
      <c r="T25" s="129"/>
      <c r="U25" s="129"/>
      <c r="V25" s="170" t="s">
        <v>538</v>
      </c>
      <c r="W25" s="129">
        <v>1800</v>
      </c>
      <c r="X25" s="129">
        <v>1500</v>
      </c>
      <c r="Y25" s="129"/>
      <c r="Z25" s="168"/>
      <c r="AA25" s="129"/>
      <c r="AB25" s="129"/>
      <c r="AC25" s="129"/>
      <c r="AD25" s="129">
        <v>950</v>
      </c>
      <c r="AE25" s="129">
        <v>1700</v>
      </c>
      <c r="AF25" s="129"/>
    </row>
    <row r="26" spans="1:32" s="102" customFormat="1" ht="31.5" outlineLevel="1" x14ac:dyDescent="0.2">
      <c r="A26" s="97">
        <v>11</v>
      </c>
      <c r="B26" s="50" t="s">
        <v>469</v>
      </c>
      <c r="C26" s="2" t="s">
        <v>468</v>
      </c>
      <c r="D26" s="97" t="s">
        <v>9</v>
      </c>
      <c r="E26" s="17">
        <v>900</v>
      </c>
      <c r="F26" s="4" t="s">
        <v>464</v>
      </c>
      <c r="G26" s="146"/>
      <c r="H26" s="153"/>
      <c r="I26" s="154"/>
      <c r="J26" s="154"/>
      <c r="K26" s="154">
        <v>900</v>
      </c>
      <c r="L26" s="154"/>
      <c r="M26" s="154"/>
      <c r="N26" s="154"/>
      <c r="O26" s="153"/>
      <c r="P26" s="153"/>
      <c r="Q26" s="125"/>
      <c r="R26" s="129"/>
      <c r="S26" s="129"/>
      <c r="T26" s="129"/>
      <c r="U26" s="129"/>
      <c r="V26" s="170" t="s">
        <v>538</v>
      </c>
      <c r="W26" s="129"/>
      <c r="X26" s="129"/>
      <c r="Y26" s="129"/>
      <c r="Z26" s="168"/>
      <c r="AA26" s="129"/>
      <c r="AB26" s="129"/>
      <c r="AC26" s="129"/>
      <c r="AD26" s="129">
        <v>1200</v>
      </c>
      <c r="AE26" s="129">
        <v>1500</v>
      </c>
      <c r="AF26" s="129"/>
    </row>
    <row r="27" spans="1:32" ht="31.5" outlineLevel="1" x14ac:dyDescent="0.2">
      <c r="A27" s="97">
        <v>12</v>
      </c>
      <c r="B27" s="79" t="s">
        <v>123</v>
      </c>
      <c r="C27" s="2" t="s">
        <v>122</v>
      </c>
      <c r="D27" s="3" t="s">
        <v>9</v>
      </c>
      <c r="E27" s="17">
        <v>1000</v>
      </c>
      <c r="F27" s="4" t="s">
        <v>122</v>
      </c>
      <c r="G27" s="146"/>
      <c r="H27" s="153">
        <v>2000</v>
      </c>
      <c r="I27" s="154">
        <f>3000+1300</f>
        <v>4300</v>
      </c>
      <c r="J27" s="154">
        <f>6000+1200</f>
        <v>7200</v>
      </c>
      <c r="K27" s="154">
        <v>5000</v>
      </c>
      <c r="L27" s="154">
        <f>3000+1200</f>
        <v>4200</v>
      </c>
      <c r="M27" s="154">
        <v>6000</v>
      </c>
      <c r="N27" s="154">
        <v>3000</v>
      </c>
      <c r="O27" s="153">
        <f>2000+1200+1200</f>
        <v>4400</v>
      </c>
      <c r="P27" s="153"/>
      <c r="R27" s="129"/>
      <c r="S27" s="129"/>
      <c r="T27" s="129"/>
      <c r="U27" s="129"/>
      <c r="V27" s="170" t="s">
        <v>539</v>
      </c>
      <c r="W27" s="129"/>
      <c r="X27" s="129"/>
      <c r="Y27" s="129"/>
      <c r="Z27" s="168"/>
      <c r="AA27" s="129"/>
      <c r="AB27" s="129"/>
      <c r="AC27" s="129"/>
      <c r="AD27" s="129">
        <v>1100</v>
      </c>
      <c r="AE27" s="129">
        <v>950</v>
      </c>
      <c r="AF27" s="129">
        <v>1300</v>
      </c>
    </row>
    <row r="28" spans="1:32" ht="31.5" outlineLevel="1" x14ac:dyDescent="0.2">
      <c r="A28" s="98">
        <v>13</v>
      </c>
      <c r="B28" s="79" t="s">
        <v>157</v>
      </c>
      <c r="C28" s="2" t="s">
        <v>156</v>
      </c>
      <c r="D28" s="3" t="s">
        <v>9</v>
      </c>
      <c r="E28" s="17">
        <v>600</v>
      </c>
      <c r="F28" s="4" t="s">
        <v>156</v>
      </c>
      <c r="G28" s="146"/>
      <c r="H28" s="154"/>
      <c r="I28" s="154"/>
      <c r="J28" s="154">
        <v>1800</v>
      </c>
      <c r="K28" s="154">
        <v>1200</v>
      </c>
      <c r="L28" s="154">
        <v>600</v>
      </c>
      <c r="M28" s="154"/>
      <c r="N28" s="154"/>
      <c r="O28" s="153"/>
      <c r="P28" s="161">
        <v>1200</v>
      </c>
      <c r="R28" s="129"/>
      <c r="S28" s="129"/>
      <c r="T28" s="129"/>
      <c r="U28" s="129"/>
      <c r="V28" s="170"/>
      <c r="W28" s="129"/>
      <c r="X28" s="129"/>
      <c r="Y28" s="129"/>
      <c r="Z28" s="168">
        <v>1350</v>
      </c>
      <c r="AA28" s="129"/>
      <c r="AB28" s="129"/>
      <c r="AC28" s="129"/>
      <c r="AD28" s="129">
        <v>3000</v>
      </c>
      <c r="AE28" s="129">
        <v>2150</v>
      </c>
      <c r="AF28" s="129"/>
    </row>
    <row r="29" spans="1:32" ht="47.25" outlineLevel="1" x14ac:dyDescent="0.2">
      <c r="A29" s="97">
        <v>14</v>
      </c>
      <c r="B29" s="79" t="s">
        <v>163</v>
      </c>
      <c r="C29" s="2" t="s">
        <v>162</v>
      </c>
      <c r="D29" s="3" t="s">
        <v>9</v>
      </c>
      <c r="E29" s="17">
        <v>600</v>
      </c>
      <c r="F29" s="4" t="s">
        <v>162</v>
      </c>
      <c r="G29" s="146"/>
      <c r="H29" s="154"/>
      <c r="I29" s="154"/>
      <c r="J29" s="154"/>
      <c r="K29" s="154"/>
      <c r="L29" s="154"/>
      <c r="M29" s="154"/>
      <c r="N29" s="154"/>
      <c r="O29" s="153"/>
      <c r="P29" s="153"/>
      <c r="R29" s="129"/>
      <c r="S29" s="129">
        <v>1000</v>
      </c>
      <c r="T29" s="129"/>
      <c r="U29" s="129"/>
      <c r="V29" s="170" t="s">
        <v>538</v>
      </c>
      <c r="W29" s="129"/>
      <c r="X29" s="129"/>
      <c r="Y29" s="129"/>
      <c r="Z29" s="168"/>
      <c r="AA29" s="129"/>
      <c r="AB29" s="129"/>
      <c r="AC29" s="129"/>
      <c r="AD29" s="129"/>
      <c r="AE29" s="129">
        <v>550</v>
      </c>
      <c r="AF29" s="129"/>
    </row>
    <row r="30" spans="1:32" ht="39.75" customHeight="1" outlineLevel="1" x14ac:dyDescent="0.2">
      <c r="A30" s="97">
        <v>15</v>
      </c>
      <c r="B30" s="79" t="s">
        <v>165</v>
      </c>
      <c r="C30" s="2" t="s">
        <v>164</v>
      </c>
      <c r="D30" s="3" t="s">
        <v>9</v>
      </c>
      <c r="E30" s="17">
        <v>800</v>
      </c>
      <c r="F30" s="4" t="s">
        <v>164</v>
      </c>
      <c r="G30" s="146"/>
      <c r="H30" s="154"/>
      <c r="I30" s="154"/>
      <c r="J30" s="154"/>
      <c r="K30" s="154"/>
      <c r="L30" s="154"/>
      <c r="M30" s="154"/>
      <c r="N30" s="154"/>
      <c r="O30" s="153"/>
      <c r="P30" s="153"/>
      <c r="R30" s="129">
        <v>600</v>
      </c>
      <c r="S30" s="129"/>
      <c r="T30" s="129"/>
      <c r="U30" s="129"/>
      <c r="V30" s="170"/>
      <c r="W30" s="129"/>
      <c r="X30" s="129"/>
      <c r="Y30" s="129"/>
      <c r="Z30" s="168"/>
      <c r="AA30" s="129"/>
      <c r="AB30" s="129"/>
      <c r="AC30" s="129"/>
      <c r="AD30" s="129">
        <v>530</v>
      </c>
      <c r="AE30" s="129">
        <v>550</v>
      </c>
      <c r="AF30" s="129"/>
    </row>
    <row r="31" spans="1:32" ht="31.5" outlineLevel="1" x14ac:dyDescent="0.2">
      <c r="A31" s="98">
        <v>16</v>
      </c>
      <c r="B31" s="79" t="s">
        <v>167</v>
      </c>
      <c r="C31" s="2" t="s">
        <v>166</v>
      </c>
      <c r="D31" s="3" t="s">
        <v>9</v>
      </c>
      <c r="E31" s="17">
        <v>800</v>
      </c>
      <c r="F31" s="4" t="s">
        <v>166</v>
      </c>
      <c r="G31" s="146"/>
      <c r="H31" s="154"/>
      <c r="I31" s="154"/>
      <c r="J31" s="154"/>
      <c r="K31" s="154"/>
      <c r="L31" s="154"/>
      <c r="M31" s="154"/>
      <c r="N31" s="154"/>
      <c r="O31" s="153"/>
      <c r="P31" s="153"/>
      <c r="R31" s="129">
        <v>700</v>
      </c>
      <c r="S31" s="129"/>
      <c r="T31" s="129"/>
      <c r="U31" s="129"/>
      <c r="V31" s="170"/>
      <c r="W31" s="129"/>
      <c r="X31" s="129"/>
      <c r="Y31" s="129"/>
      <c r="Z31" s="168"/>
      <c r="AA31" s="129"/>
      <c r="AB31" s="129"/>
      <c r="AC31" s="129"/>
      <c r="AD31" s="129"/>
      <c r="AE31" s="129"/>
      <c r="AF31" s="129"/>
    </row>
    <row r="32" spans="1:32" s="125" customFormat="1" ht="31.5" outlineLevel="1" x14ac:dyDescent="0.2">
      <c r="A32" s="131">
        <v>17</v>
      </c>
      <c r="B32" s="130" t="s">
        <v>503</v>
      </c>
      <c r="C32" s="126" t="s">
        <v>495</v>
      </c>
      <c r="D32" s="127" t="s">
        <v>12</v>
      </c>
      <c r="E32" s="128">
        <v>600</v>
      </c>
      <c r="F32" s="126" t="s">
        <v>495</v>
      </c>
      <c r="G32" s="146"/>
      <c r="H32" s="154"/>
      <c r="I32" s="154"/>
      <c r="J32" s="154"/>
      <c r="K32" s="154"/>
      <c r="L32" s="154"/>
      <c r="M32" s="154"/>
      <c r="N32" s="154"/>
      <c r="O32" s="153"/>
      <c r="P32" s="161">
        <v>600</v>
      </c>
      <c r="R32" s="129"/>
      <c r="S32" s="129"/>
      <c r="T32" s="129"/>
      <c r="U32" s="129"/>
      <c r="V32" s="170" t="s">
        <v>540</v>
      </c>
      <c r="W32" s="129"/>
      <c r="X32" s="129"/>
      <c r="Y32" s="129"/>
      <c r="Z32" s="168"/>
      <c r="AA32" s="129"/>
      <c r="AB32" s="129"/>
      <c r="AC32" s="129"/>
      <c r="AD32" s="129">
        <v>1000</v>
      </c>
      <c r="AE32" s="129">
        <v>2500</v>
      </c>
      <c r="AF32" s="129"/>
    </row>
    <row r="33" spans="1:32" ht="30" customHeight="1" outlineLevel="1" x14ac:dyDescent="0.2">
      <c r="A33" s="97">
        <v>18</v>
      </c>
      <c r="B33" s="79" t="s">
        <v>123</v>
      </c>
      <c r="C33" s="2" t="s">
        <v>122</v>
      </c>
      <c r="D33" s="3" t="s">
        <v>9</v>
      </c>
      <c r="E33" s="17">
        <v>1200</v>
      </c>
      <c r="F33" s="4" t="s">
        <v>122</v>
      </c>
      <c r="G33" s="146"/>
      <c r="H33" s="154"/>
      <c r="I33" s="154"/>
      <c r="J33" s="154"/>
      <c r="K33" s="154"/>
      <c r="L33" s="154"/>
      <c r="M33" s="154"/>
      <c r="N33" s="154"/>
      <c r="O33" s="153"/>
      <c r="P33" s="153">
        <v>900</v>
      </c>
      <c r="R33" s="129"/>
      <c r="S33" s="129"/>
      <c r="T33" s="129"/>
      <c r="U33" s="129"/>
      <c r="V33" s="170"/>
      <c r="W33" s="129"/>
      <c r="X33" s="129"/>
      <c r="Y33" s="129"/>
      <c r="Z33" s="168"/>
      <c r="AA33" s="129"/>
      <c r="AB33" s="129"/>
      <c r="AC33" s="129"/>
      <c r="AD33" s="129"/>
      <c r="AE33" s="129"/>
      <c r="AF33" s="129"/>
    </row>
    <row r="34" spans="1:32" s="125" customFormat="1" ht="30" customHeight="1" outlineLevel="1" x14ac:dyDescent="0.2">
      <c r="A34" s="148">
        <v>19</v>
      </c>
      <c r="B34" s="151"/>
      <c r="C34" s="126" t="s">
        <v>519</v>
      </c>
      <c r="D34" s="148" t="s">
        <v>9</v>
      </c>
      <c r="E34" s="152">
        <v>900</v>
      </c>
      <c r="F34" s="126" t="s">
        <v>519</v>
      </c>
      <c r="G34" s="146"/>
      <c r="H34" s="154"/>
      <c r="I34" s="154"/>
      <c r="J34" s="154"/>
      <c r="K34" s="154"/>
      <c r="L34" s="154"/>
      <c r="M34" s="154"/>
      <c r="N34" s="154"/>
      <c r="O34" s="153"/>
      <c r="P34" s="153"/>
      <c r="R34" s="129">
        <v>700</v>
      </c>
      <c r="S34" s="129"/>
      <c r="T34" s="129"/>
      <c r="U34" s="129"/>
      <c r="V34" s="170"/>
      <c r="W34" s="129"/>
      <c r="X34" s="129"/>
      <c r="Y34" s="129"/>
      <c r="Z34" s="168"/>
      <c r="AA34" s="129"/>
      <c r="AB34" s="129"/>
      <c r="AC34" s="129"/>
      <c r="AD34" s="129">
        <v>1100</v>
      </c>
      <c r="AE34" s="129">
        <v>1250</v>
      </c>
      <c r="AF34" s="129"/>
    </row>
    <row r="35" spans="1:32" s="125" customFormat="1" ht="30" customHeight="1" outlineLevel="1" x14ac:dyDescent="0.2">
      <c r="A35" s="150">
        <v>20</v>
      </c>
      <c r="B35" s="151"/>
      <c r="C35" s="156" t="s">
        <v>521</v>
      </c>
      <c r="D35" s="150" t="s">
        <v>9</v>
      </c>
      <c r="E35" s="152">
        <v>6000</v>
      </c>
      <c r="F35" s="156" t="s">
        <v>521</v>
      </c>
      <c r="G35" s="146"/>
      <c r="H35" s="154"/>
      <c r="I35" s="154"/>
      <c r="J35" s="154"/>
      <c r="K35" s="154"/>
      <c r="L35" s="154"/>
      <c r="M35" s="154"/>
      <c r="N35" s="154"/>
      <c r="O35" s="153">
        <v>267000</v>
      </c>
      <c r="P35" s="153"/>
      <c r="R35" s="129"/>
      <c r="S35" s="129"/>
      <c r="T35" s="129"/>
      <c r="U35" s="129"/>
      <c r="V35" s="170"/>
      <c r="W35" s="129"/>
      <c r="X35" s="129"/>
      <c r="Y35" s="129"/>
      <c r="Z35" s="168"/>
      <c r="AA35" s="129"/>
      <c r="AB35" s="129"/>
      <c r="AC35" s="129"/>
      <c r="AD35" s="129"/>
      <c r="AE35" s="129"/>
      <c r="AF35" s="129"/>
    </row>
    <row r="36" spans="1:32" s="125" customFormat="1" ht="30" customHeight="1" outlineLevel="1" x14ac:dyDescent="0.2">
      <c r="A36" s="150">
        <v>21</v>
      </c>
      <c r="B36" s="151"/>
      <c r="C36" s="156" t="s">
        <v>522</v>
      </c>
      <c r="D36" s="150" t="s">
        <v>9</v>
      </c>
      <c r="E36" s="152">
        <v>6000</v>
      </c>
      <c r="F36" s="156" t="s">
        <v>522</v>
      </c>
      <c r="G36" s="146"/>
      <c r="H36" s="154"/>
      <c r="I36" s="154"/>
      <c r="J36" s="154"/>
      <c r="K36" s="154"/>
      <c r="L36" s="154"/>
      <c r="M36" s="154"/>
      <c r="N36" s="154"/>
      <c r="O36" s="153">
        <v>279000</v>
      </c>
      <c r="P36" s="153"/>
      <c r="R36" s="129"/>
      <c r="S36" s="129"/>
      <c r="T36" s="129"/>
      <c r="U36" s="129"/>
      <c r="V36" s="170"/>
      <c r="W36" s="129"/>
      <c r="X36" s="129"/>
      <c r="Y36" s="129"/>
      <c r="Z36" s="168"/>
      <c r="AA36" s="129"/>
      <c r="AB36" s="129"/>
      <c r="AC36" s="129"/>
      <c r="AD36" s="129"/>
      <c r="AE36" s="129"/>
      <c r="AF36" s="129"/>
    </row>
    <row r="37" spans="1:32" s="125" customFormat="1" ht="30" customHeight="1" outlineLevel="1" x14ac:dyDescent="0.2">
      <c r="A37" s="150">
        <v>22</v>
      </c>
      <c r="B37" s="151"/>
      <c r="C37" s="156" t="s">
        <v>523</v>
      </c>
      <c r="D37" s="150" t="s">
        <v>9</v>
      </c>
      <c r="E37" s="152">
        <v>3000</v>
      </c>
      <c r="F37" s="156" t="s">
        <v>523</v>
      </c>
      <c r="G37" s="146"/>
      <c r="H37" s="154"/>
      <c r="I37" s="154"/>
      <c r="J37" s="154"/>
      <c r="K37" s="154"/>
      <c r="L37" s="154"/>
      <c r="M37" s="154"/>
      <c r="N37" s="154"/>
      <c r="O37" s="153">
        <v>6000</v>
      </c>
      <c r="P37" s="153"/>
      <c r="R37" s="129"/>
      <c r="S37" s="129"/>
      <c r="T37" s="129"/>
      <c r="U37" s="129"/>
      <c r="V37" s="170"/>
      <c r="W37" s="129"/>
      <c r="X37" s="129"/>
      <c r="Y37" s="129"/>
      <c r="Z37" s="168"/>
      <c r="AA37" s="129"/>
      <c r="AB37" s="129"/>
      <c r="AC37" s="129"/>
      <c r="AD37" s="129"/>
      <c r="AE37" s="129"/>
      <c r="AF37" s="129"/>
    </row>
    <row r="38" spans="1:32" ht="23.25" x14ac:dyDescent="0.2">
      <c r="A38" s="314" t="s">
        <v>10</v>
      </c>
      <c r="B38" s="315"/>
      <c r="C38" s="315"/>
      <c r="D38" s="315"/>
      <c r="E38" s="315"/>
      <c r="F38" s="315"/>
      <c r="G38" s="146"/>
      <c r="H38" s="154"/>
      <c r="I38" s="154"/>
      <c r="J38" s="154"/>
      <c r="K38" s="154"/>
      <c r="L38" s="154"/>
      <c r="M38" s="154"/>
      <c r="N38" s="154"/>
      <c r="O38" s="153"/>
      <c r="P38" s="153"/>
      <c r="R38" s="129"/>
      <c r="S38" s="129"/>
      <c r="T38" s="129"/>
      <c r="U38" s="129"/>
      <c r="V38" s="170"/>
      <c r="W38" s="129"/>
      <c r="X38" s="129"/>
      <c r="Y38" s="129"/>
      <c r="Z38" s="168"/>
      <c r="AA38" s="129"/>
      <c r="AB38" s="129"/>
      <c r="AC38" s="129"/>
      <c r="AD38" s="129"/>
      <c r="AE38" s="129"/>
      <c r="AF38" s="129"/>
    </row>
    <row r="39" spans="1:32" s="125" customFormat="1" ht="31.5" x14ac:dyDescent="0.2">
      <c r="A39" s="178"/>
      <c r="B39" s="179"/>
      <c r="C39" s="197" t="s">
        <v>547</v>
      </c>
      <c r="D39" s="199" t="s">
        <v>9</v>
      </c>
      <c r="E39" s="199">
        <v>800</v>
      </c>
      <c r="F39" s="199" t="s">
        <v>545</v>
      </c>
      <c r="G39" s="146"/>
      <c r="H39" s="154"/>
      <c r="I39" s="154"/>
      <c r="J39" s="154"/>
      <c r="K39" s="154"/>
      <c r="L39" s="154"/>
      <c r="M39" s="154"/>
      <c r="N39" s="154"/>
      <c r="O39" s="153"/>
      <c r="P39" s="153"/>
      <c r="R39" s="129"/>
      <c r="S39" s="129"/>
      <c r="T39" s="129"/>
      <c r="U39" s="129"/>
      <c r="V39" s="170"/>
      <c r="W39" s="129"/>
      <c r="X39" s="129"/>
      <c r="Y39" s="129"/>
      <c r="Z39" s="168"/>
      <c r="AA39" s="129"/>
      <c r="AB39" s="129"/>
      <c r="AC39" s="129"/>
      <c r="AD39" s="129"/>
      <c r="AE39" s="129"/>
      <c r="AF39" s="129"/>
    </row>
    <row r="40" spans="1:32" s="125" customFormat="1" ht="47.25" x14ac:dyDescent="0.2">
      <c r="A40" s="178"/>
      <c r="B40" s="179"/>
      <c r="C40" s="197" t="s">
        <v>548</v>
      </c>
      <c r="D40" s="199" t="s">
        <v>9</v>
      </c>
      <c r="E40" s="199">
        <v>1000</v>
      </c>
      <c r="F40" s="199" t="s">
        <v>545</v>
      </c>
      <c r="G40" s="146"/>
      <c r="H40" s="154"/>
      <c r="I40" s="154"/>
      <c r="J40" s="154"/>
      <c r="K40" s="154"/>
      <c r="L40" s="154"/>
      <c r="M40" s="154"/>
      <c r="N40" s="154"/>
      <c r="O40" s="153"/>
      <c r="P40" s="153"/>
      <c r="R40" s="129"/>
      <c r="S40" s="129"/>
      <c r="T40" s="129"/>
      <c r="U40" s="129"/>
      <c r="V40" s="170"/>
      <c r="W40" s="129"/>
      <c r="X40" s="129"/>
      <c r="Y40" s="129"/>
      <c r="Z40" s="168"/>
      <c r="AA40" s="129"/>
      <c r="AB40" s="129"/>
      <c r="AC40" s="129"/>
      <c r="AD40" s="129"/>
      <c r="AE40" s="129"/>
      <c r="AF40" s="129"/>
    </row>
    <row r="41" spans="1:32" ht="33.75" customHeight="1" outlineLevel="1" x14ac:dyDescent="0.2">
      <c r="A41" s="3">
        <v>1</v>
      </c>
      <c r="B41" s="79" t="s">
        <v>135</v>
      </c>
      <c r="C41" s="2" t="s">
        <v>134</v>
      </c>
      <c r="D41" s="3" t="s">
        <v>9</v>
      </c>
      <c r="E41" s="17">
        <v>400</v>
      </c>
      <c r="F41" s="4" t="s">
        <v>134</v>
      </c>
      <c r="G41" s="146"/>
      <c r="H41" s="153">
        <v>3600</v>
      </c>
      <c r="I41" s="154">
        <v>11600</v>
      </c>
      <c r="J41" s="154">
        <v>6800</v>
      </c>
      <c r="K41" s="154">
        <v>10400</v>
      </c>
      <c r="L41" s="154">
        <v>10800</v>
      </c>
      <c r="M41" s="154">
        <v>6000</v>
      </c>
      <c r="N41" s="154">
        <v>8000</v>
      </c>
      <c r="O41" s="153">
        <v>7200</v>
      </c>
      <c r="P41" s="153">
        <v>6000</v>
      </c>
      <c r="R41" s="129"/>
      <c r="S41" s="129"/>
      <c r="T41" s="129"/>
      <c r="U41" s="129"/>
      <c r="V41" s="170"/>
      <c r="W41" s="129"/>
      <c r="X41" s="129"/>
      <c r="Y41" s="129"/>
      <c r="Z41" s="168"/>
      <c r="AA41" s="129"/>
      <c r="AB41" s="129"/>
      <c r="AC41" s="129"/>
      <c r="AD41" s="129"/>
      <c r="AE41" s="129"/>
      <c r="AF41" s="129"/>
    </row>
    <row r="42" spans="1:32" ht="31.5" outlineLevel="1" x14ac:dyDescent="0.2">
      <c r="A42" s="3">
        <v>2</v>
      </c>
      <c r="B42" s="79" t="s">
        <v>129</v>
      </c>
      <c r="C42" s="2" t="s">
        <v>128</v>
      </c>
      <c r="D42" s="3" t="s">
        <v>9</v>
      </c>
      <c r="E42" s="17">
        <v>500</v>
      </c>
      <c r="F42" s="4" t="s">
        <v>128</v>
      </c>
      <c r="G42" s="146"/>
      <c r="H42" s="153"/>
      <c r="I42" s="154"/>
      <c r="J42" s="154">
        <v>500</v>
      </c>
      <c r="K42" s="154"/>
      <c r="L42" s="154"/>
      <c r="M42" s="154"/>
      <c r="N42" s="154"/>
      <c r="O42" s="153"/>
      <c r="P42" s="153"/>
      <c r="R42" s="129"/>
      <c r="S42" s="129"/>
      <c r="T42" s="129"/>
      <c r="U42" s="129"/>
      <c r="V42" s="170"/>
      <c r="W42" s="129"/>
      <c r="X42" s="129"/>
      <c r="Y42" s="129"/>
      <c r="Z42" s="168"/>
      <c r="AA42" s="129"/>
      <c r="AB42" s="129"/>
      <c r="AC42" s="129"/>
      <c r="AD42" s="129"/>
      <c r="AE42" s="129"/>
      <c r="AF42" s="129"/>
    </row>
    <row r="43" spans="1:32" ht="31.5" outlineLevel="1" x14ac:dyDescent="0.2">
      <c r="A43" s="3">
        <v>3</v>
      </c>
      <c r="B43" s="79" t="s">
        <v>130</v>
      </c>
      <c r="C43" s="2" t="s">
        <v>131</v>
      </c>
      <c r="D43" s="3" t="s">
        <v>9</v>
      </c>
      <c r="E43" s="17">
        <v>500</v>
      </c>
      <c r="F43" s="4" t="s">
        <v>131</v>
      </c>
      <c r="G43" s="146"/>
      <c r="H43" s="153"/>
      <c r="I43" s="154"/>
      <c r="J43" s="154">
        <v>500</v>
      </c>
      <c r="K43" s="154"/>
      <c r="L43" s="154">
        <v>1000</v>
      </c>
      <c r="M43" s="154">
        <v>1000</v>
      </c>
      <c r="N43" s="154"/>
      <c r="O43" s="153">
        <v>1000</v>
      </c>
      <c r="P43" s="161">
        <v>1500</v>
      </c>
      <c r="R43" s="129"/>
      <c r="S43" s="129"/>
      <c r="T43" s="129"/>
      <c r="U43" s="129"/>
      <c r="V43" s="170"/>
      <c r="W43" s="129"/>
      <c r="X43" s="129"/>
      <c r="Y43" s="129"/>
      <c r="Z43" s="168"/>
      <c r="AA43" s="129"/>
      <c r="AB43" s="129"/>
      <c r="AC43" s="129"/>
      <c r="AD43" s="129"/>
      <c r="AE43" s="129"/>
      <c r="AF43" s="129"/>
    </row>
    <row r="44" spans="1:32" ht="31.5" outlineLevel="1" x14ac:dyDescent="0.2">
      <c r="A44" s="3">
        <v>4</v>
      </c>
      <c r="B44" s="79" t="s">
        <v>139</v>
      </c>
      <c r="C44" s="2" t="s">
        <v>138</v>
      </c>
      <c r="D44" s="3" t="s">
        <v>9</v>
      </c>
      <c r="E44" s="17">
        <v>400</v>
      </c>
      <c r="F44" s="4" t="s">
        <v>138</v>
      </c>
      <c r="G44" s="146"/>
      <c r="H44" s="153"/>
      <c r="I44" s="154"/>
      <c r="J44" s="154"/>
      <c r="K44" s="154"/>
      <c r="L44" s="154"/>
      <c r="M44" s="154"/>
      <c r="N44" s="154"/>
      <c r="O44" s="153"/>
      <c r="P44" s="153"/>
      <c r="R44" s="129"/>
      <c r="S44" s="129"/>
      <c r="T44" s="129"/>
      <c r="U44" s="129"/>
      <c r="V44" s="170"/>
      <c r="W44" s="129"/>
      <c r="X44" s="129"/>
      <c r="Y44" s="129"/>
      <c r="Z44" s="168"/>
      <c r="AA44" s="129"/>
      <c r="AB44" s="129"/>
      <c r="AC44" s="129"/>
      <c r="AD44" s="129"/>
      <c r="AE44" s="129"/>
      <c r="AF44" s="129"/>
    </row>
    <row r="45" spans="1:32" ht="31.5" outlineLevel="1" x14ac:dyDescent="0.2">
      <c r="A45" s="3">
        <v>5</v>
      </c>
      <c r="B45" s="83" t="s">
        <v>143</v>
      </c>
      <c r="C45" s="2" t="s">
        <v>142</v>
      </c>
      <c r="D45" s="3" t="s">
        <v>9</v>
      </c>
      <c r="E45" s="17">
        <v>400</v>
      </c>
      <c r="F45" s="4" t="s">
        <v>142</v>
      </c>
      <c r="G45" s="146"/>
      <c r="H45" s="153"/>
      <c r="I45" s="154"/>
      <c r="J45" s="154"/>
      <c r="K45" s="154"/>
      <c r="L45" s="154"/>
      <c r="M45" s="154">
        <v>400</v>
      </c>
      <c r="N45" s="154">
        <v>1200</v>
      </c>
      <c r="O45" s="153">
        <v>400</v>
      </c>
      <c r="P45" s="153"/>
      <c r="R45" s="129"/>
      <c r="S45" s="129"/>
      <c r="T45" s="129"/>
      <c r="U45" s="129"/>
      <c r="V45" s="170"/>
      <c r="W45" s="129"/>
      <c r="X45" s="129"/>
      <c r="Y45" s="129"/>
      <c r="Z45" s="168"/>
      <c r="AA45" s="129"/>
      <c r="AB45" s="129"/>
      <c r="AC45" s="129"/>
      <c r="AD45" s="129"/>
      <c r="AE45" s="129"/>
      <c r="AF45" s="129"/>
    </row>
    <row r="46" spans="1:32" ht="31.5" outlineLevel="1" x14ac:dyDescent="0.2">
      <c r="A46" s="3">
        <v>6</v>
      </c>
      <c r="B46" s="79" t="s">
        <v>133</v>
      </c>
      <c r="C46" s="2" t="s">
        <v>132</v>
      </c>
      <c r="D46" s="3" t="s">
        <v>9</v>
      </c>
      <c r="E46" s="17">
        <v>500</v>
      </c>
      <c r="F46" s="4" t="s">
        <v>132</v>
      </c>
      <c r="G46" s="146"/>
      <c r="H46" s="153"/>
      <c r="I46" s="154"/>
      <c r="J46" s="154"/>
      <c r="K46" s="154"/>
      <c r="L46" s="154"/>
      <c r="M46" s="154"/>
      <c r="N46" s="154"/>
      <c r="O46" s="153"/>
      <c r="P46" s="153"/>
      <c r="R46" s="129"/>
      <c r="S46" s="129"/>
      <c r="T46" s="129"/>
      <c r="U46" s="129"/>
      <c r="V46" s="170"/>
      <c r="W46" s="129"/>
      <c r="X46" s="129"/>
      <c r="Y46" s="129"/>
      <c r="Z46" s="168"/>
      <c r="AA46" s="129"/>
      <c r="AB46" s="129"/>
      <c r="AC46" s="129"/>
      <c r="AD46" s="129"/>
      <c r="AE46" s="129"/>
      <c r="AF46" s="129"/>
    </row>
    <row r="47" spans="1:32" ht="31.5" outlineLevel="1" x14ac:dyDescent="0.2">
      <c r="A47" s="3">
        <v>7</v>
      </c>
      <c r="B47" s="79" t="s">
        <v>147</v>
      </c>
      <c r="C47" s="2" t="s">
        <v>146</v>
      </c>
      <c r="D47" s="3" t="s">
        <v>9</v>
      </c>
      <c r="E47" s="17">
        <v>400</v>
      </c>
      <c r="F47" s="4" t="s">
        <v>146</v>
      </c>
      <c r="G47" s="146"/>
      <c r="H47" s="153"/>
      <c r="I47" s="154"/>
      <c r="J47" s="154"/>
      <c r="K47" s="154"/>
      <c r="L47" s="154"/>
      <c r="M47" s="154"/>
      <c r="N47" s="154"/>
      <c r="O47" s="153"/>
      <c r="P47" s="153"/>
      <c r="R47" s="129"/>
      <c r="S47" s="129"/>
      <c r="T47" s="129"/>
      <c r="U47" s="129"/>
      <c r="V47" s="170"/>
      <c r="W47" s="129"/>
      <c r="X47" s="129"/>
      <c r="Y47" s="129"/>
      <c r="Z47" s="168"/>
      <c r="AA47" s="129"/>
      <c r="AB47" s="129"/>
      <c r="AC47" s="129"/>
      <c r="AD47" s="129"/>
      <c r="AE47" s="129"/>
      <c r="AF47" s="129"/>
    </row>
    <row r="48" spans="1:32" ht="47.25" outlineLevel="1" x14ac:dyDescent="0.25">
      <c r="A48" s="127">
        <v>8</v>
      </c>
      <c r="B48" s="130" t="s">
        <v>151</v>
      </c>
      <c r="C48" s="41" t="s">
        <v>499</v>
      </c>
      <c r="D48" s="127" t="s">
        <v>9</v>
      </c>
      <c r="E48" s="128">
        <v>500</v>
      </c>
      <c r="F48" s="50" t="s">
        <v>499</v>
      </c>
      <c r="G48" s="146"/>
      <c r="H48" s="153">
        <v>4500</v>
      </c>
      <c r="I48" s="154">
        <v>1500</v>
      </c>
      <c r="J48" s="154">
        <v>3500</v>
      </c>
      <c r="K48" s="154"/>
      <c r="L48" s="154"/>
      <c r="M48" s="154"/>
      <c r="N48" s="154">
        <v>500</v>
      </c>
      <c r="O48" s="153">
        <v>500</v>
      </c>
      <c r="P48" s="153"/>
      <c r="R48" s="129"/>
      <c r="S48" s="129"/>
      <c r="T48" s="129"/>
      <c r="U48" s="129"/>
      <c r="V48" s="170"/>
      <c r="W48" s="129"/>
      <c r="X48" s="129"/>
      <c r="Y48" s="129"/>
      <c r="Z48" s="168"/>
      <c r="AA48" s="129"/>
      <c r="AB48" s="129"/>
      <c r="AC48" s="129"/>
      <c r="AD48" s="129"/>
      <c r="AE48" s="129"/>
      <c r="AF48" s="129"/>
    </row>
    <row r="49" spans="1:32" s="125" customFormat="1" ht="31.5" outlineLevel="1" x14ac:dyDescent="0.25">
      <c r="A49" s="127">
        <v>9</v>
      </c>
      <c r="B49" s="130" t="s">
        <v>151</v>
      </c>
      <c r="C49" s="41" t="s">
        <v>150</v>
      </c>
      <c r="D49" s="127" t="s">
        <v>9</v>
      </c>
      <c r="E49" s="128">
        <v>2000</v>
      </c>
      <c r="F49" s="41" t="s">
        <v>150</v>
      </c>
      <c r="G49" s="146"/>
      <c r="H49" s="154"/>
      <c r="I49" s="154"/>
      <c r="J49" s="154"/>
      <c r="K49" s="154"/>
      <c r="L49" s="154"/>
      <c r="M49" s="154"/>
      <c r="N49" s="154"/>
      <c r="O49" s="153">
        <v>2000</v>
      </c>
      <c r="P49" s="153"/>
      <c r="R49" s="129"/>
      <c r="S49" s="129"/>
      <c r="T49" s="129"/>
      <c r="U49" s="129"/>
      <c r="V49" s="170"/>
      <c r="W49" s="129"/>
      <c r="X49" s="129"/>
      <c r="Y49" s="129"/>
      <c r="Z49" s="168"/>
      <c r="AA49" s="129"/>
      <c r="AB49" s="129"/>
      <c r="AC49" s="129"/>
      <c r="AD49" s="129"/>
      <c r="AE49" s="129"/>
      <c r="AF49" s="129"/>
    </row>
    <row r="50" spans="1:32" ht="31.5" outlineLevel="1" x14ac:dyDescent="0.2">
      <c r="A50" s="3">
        <v>10</v>
      </c>
      <c r="B50" s="79" t="s">
        <v>155</v>
      </c>
      <c r="C50" s="2" t="s">
        <v>154</v>
      </c>
      <c r="D50" s="3" t="s">
        <v>9</v>
      </c>
      <c r="E50" s="17">
        <v>500</v>
      </c>
      <c r="F50" s="4" t="s">
        <v>154</v>
      </c>
      <c r="G50" s="146"/>
      <c r="H50" s="154"/>
      <c r="I50" s="154"/>
      <c r="J50" s="154">
        <v>500</v>
      </c>
      <c r="K50" s="154">
        <v>1500</v>
      </c>
      <c r="L50" s="154"/>
      <c r="M50" s="154"/>
      <c r="N50" s="154"/>
      <c r="O50" s="153"/>
      <c r="P50" s="153"/>
      <c r="R50" s="129"/>
      <c r="S50" s="129"/>
      <c r="T50" s="129"/>
      <c r="U50" s="129"/>
      <c r="V50" s="170"/>
      <c r="W50" s="129"/>
      <c r="X50" s="129"/>
      <c r="Y50" s="129"/>
      <c r="Z50" s="168"/>
      <c r="AA50" s="129"/>
      <c r="AB50" s="129"/>
      <c r="AC50" s="129"/>
      <c r="AD50" s="129"/>
      <c r="AE50" s="129"/>
      <c r="AF50" s="129"/>
    </row>
    <row r="51" spans="1:32" s="102" customFormat="1" ht="31.5" outlineLevel="1" x14ac:dyDescent="0.2">
      <c r="A51" s="97">
        <v>11</v>
      </c>
      <c r="B51" s="83" t="s">
        <v>471</v>
      </c>
      <c r="C51" s="2" t="s">
        <v>470</v>
      </c>
      <c r="D51" s="97" t="s">
        <v>9</v>
      </c>
      <c r="E51" s="17">
        <v>500</v>
      </c>
      <c r="F51" s="4" t="s">
        <v>465</v>
      </c>
      <c r="G51" s="146"/>
      <c r="H51" s="154"/>
      <c r="I51" s="154"/>
      <c r="J51" s="154"/>
      <c r="K51" s="154"/>
      <c r="L51" s="154"/>
      <c r="M51" s="154"/>
      <c r="N51" s="154"/>
      <c r="O51" s="153"/>
      <c r="P51" s="153"/>
      <c r="Q51" s="125"/>
      <c r="R51" s="129"/>
      <c r="S51" s="129"/>
      <c r="T51" s="129"/>
      <c r="U51" s="129"/>
      <c r="V51" s="170"/>
      <c r="W51" s="129"/>
      <c r="X51" s="129"/>
      <c r="Y51" s="129"/>
      <c r="Z51" s="168"/>
      <c r="AA51" s="129"/>
      <c r="AB51" s="129"/>
      <c r="AC51" s="129"/>
      <c r="AD51" s="129"/>
      <c r="AE51" s="129"/>
      <c r="AF51" s="129"/>
    </row>
    <row r="52" spans="1:32" ht="31.5" outlineLevel="1" x14ac:dyDescent="0.2">
      <c r="A52" s="97">
        <v>12</v>
      </c>
      <c r="B52" s="79" t="s">
        <v>161</v>
      </c>
      <c r="C52" s="2" t="s">
        <v>160</v>
      </c>
      <c r="D52" s="3" t="s">
        <v>9</v>
      </c>
      <c r="E52" s="17">
        <v>500</v>
      </c>
      <c r="F52" s="4" t="s">
        <v>160</v>
      </c>
      <c r="G52" s="146"/>
      <c r="H52" s="154"/>
      <c r="I52" s="154"/>
      <c r="J52" s="154"/>
      <c r="K52" s="154"/>
      <c r="L52" s="154"/>
      <c r="M52" s="154"/>
      <c r="N52" s="154"/>
      <c r="O52" s="153"/>
      <c r="P52" s="153"/>
      <c r="R52" s="129"/>
      <c r="S52" s="129"/>
      <c r="T52" s="129"/>
      <c r="U52" s="129"/>
      <c r="V52" s="170"/>
      <c r="W52" s="129"/>
      <c r="X52" s="129"/>
      <c r="Y52" s="129"/>
      <c r="Z52" s="168"/>
      <c r="AA52" s="129"/>
      <c r="AB52" s="129"/>
      <c r="AC52" s="129"/>
      <c r="AD52" s="129"/>
      <c r="AE52" s="129"/>
      <c r="AF52" s="129"/>
    </row>
    <row r="53" spans="1:32" ht="31.5" outlineLevel="1" x14ac:dyDescent="0.2">
      <c r="A53" s="97">
        <v>13</v>
      </c>
      <c r="B53" s="79" t="s">
        <v>159</v>
      </c>
      <c r="C53" s="2" t="s">
        <v>158</v>
      </c>
      <c r="D53" s="3" t="s">
        <v>9</v>
      </c>
      <c r="E53" s="17">
        <v>400</v>
      </c>
      <c r="F53" s="4" t="s">
        <v>158</v>
      </c>
      <c r="G53" s="146"/>
      <c r="H53" s="154"/>
      <c r="I53" s="154"/>
      <c r="J53" s="154"/>
      <c r="K53" s="154">
        <v>800</v>
      </c>
      <c r="L53" s="154"/>
      <c r="M53" s="154"/>
      <c r="N53" s="154"/>
      <c r="O53" s="153"/>
      <c r="P53" s="153"/>
      <c r="R53" s="129"/>
      <c r="S53" s="129"/>
      <c r="T53" s="129"/>
      <c r="U53" s="129"/>
      <c r="V53" s="170"/>
      <c r="W53" s="129"/>
      <c r="X53" s="129"/>
      <c r="Y53" s="129"/>
      <c r="Z53" s="168"/>
      <c r="AA53" s="129"/>
      <c r="AB53" s="129"/>
      <c r="AC53" s="129"/>
      <c r="AD53" s="129"/>
      <c r="AE53" s="129"/>
      <c r="AF53" s="129"/>
    </row>
    <row r="54" spans="1:32" s="125" customFormat="1" ht="47.25" outlineLevel="1" x14ac:dyDescent="0.2">
      <c r="A54" s="148">
        <v>14</v>
      </c>
      <c r="B54" s="149"/>
      <c r="C54" s="126" t="s">
        <v>162</v>
      </c>
      <c r="D54" s="148" t="s">
        <v>9</v>
      </c>
      <c r="E54" s="128">
        <v>400</v>
      </c>
      <c r="F54" s="4" t="s">
        <v>162</v>
      </c>
      <c r="G54" s="146"/>
      <c r="H54" s="154"/>
      <c r="I54" s="154"/>
      <c r="J54" s="154"/>
      <c r="K54" s="154"/>
      <c r="L54" s="154"/>
      <c r="M54" s="154"/>
      <c r="N54" s="154"/>
      <c r="O54" s="153"/>
      <c r="P54" s="153"/>
      <c r="R54" s="129"/>
      <c r="S54" s="129"/>
      <c r="T54" s="129"/>
      <c r="U54" s="129"/>
      <c r="V54" s="170"/>
      <c r="W54" s="129"/>
      <c r="X54" s="129"/>
      <c r="Y54" s="129"/>
      <c r="Z54" s="168"/>
      <c r="AA54" s="129"/>
      <c r="AB54" s="129"/>
      <c r="AC54" s="129"/>
      <c r="AD54" s="129"/>
      <c r="AE54" s="129"/>
      <c r="AF54" s="129"/>
    </row>
    <row r="55" spans="1:32" s="125" customFormat="1" ht="31.5" outlineLevel="1" x14ac:dyDescent="0.2">
      <c r="A55" s="148">
        <v>15</v>
      </c>
      <c r="B55" s="149"/>
      <c r="C55" s="126" t="s">
        <v>164</v>
      </c>
      <c r="D55" s="148" t="s">
        <v>9</v>
      </c>
      <c r="E55" s="128">
        <v>500</v>
      </c>
      <c r="F55" s="4" t="s">
        <v>164</v>
      </c>
      <c r="G55" s="146"/>
      <c r="H55" s="154"/>
      <c r="I55" s="154"/>
      <c r="J55" s="154"/>
      <c r="K55" s="154"/>
      <c r="L55" s="154"/>
      <c r="M55" s="154"/>
      <c r="N55" s="154"/>
      <c r="O55" s="153"/>
      <c r="P55" s="153"/>
      <c r="R55" s="129"/>
      <c r="S55" s="129"/>
      <c r="T55" s="129"/>
      <c r="U55" s="129"/>
      <c r="V55" s="170"/>
      <c r="W55" s="129"/>
      <c r="X55" s="129"/>
      <c r="Y55" s="129"/>
      <c r="Z55" s="168"/>
      <c r="AA55" s="129"/>
      <c r="AB55" s="129"/>
      <c r="AC55" s="129"/>
      <c r="AD55" s="129"/>
      <c r="AE55" s="129"/>
      <c r="AF55" s="129"/>
    </row>
    <row r="56" spans="1:32" ht="31.5" outlineLevel="1" x14ac:dyDescent="0.2">
      <c r="A56" s="148">
        <v>16</v>
      </c>
      <c r="B56" s="79" t="s">
        <v>169</v>
      </c>
      <c r="C56" s="2" t="s">
        <v>168</v>
      </c>
      <c r="D56" s="3" t="s">
        <v>9</v>
      </c>
      <c r="E56" s="17">
        <v>400</v>
      </c>
      <c r="F56" s="4" t="s">
        <v>168</v>
      </c>
      <c r="G56" s="146"/>
      <c r="H56" s="154"/>
      <c r="I56" s="154"/>
      <c r="J56" s="154"/>
      <c r="K56" s="154">
        <v>400</v>
      </c>
      <c r="L56" s="154"/>
      <c r="M56" s="154"/>
      <c r="N56" s="154"/>
      <c r="O56" s="153"/>
      <c r="P56" s="153"/>
      <c r="R56" s="129"/>
      <c r="S56" s="129"/>
      <c r="T56" s="129"/>
      <c r="U56" s="129"/>
      <c r="V56" s="170"/>
      <c r="W56" s="129"/>
      <c r="X56" s="129"/>
      <c r="Y56" s="129"/>
      <c r="Z56" s="168"/>
      <c r="AA56" s="129"/>
      <c r="AB56" s="129"/>
      <c r="AC56" s="129"/>
      <c r="AD56" s="129"/>
      <c r="AE56" s="129"/>
      <c r="AF56" s="129"/>
    </row>
    <row r="57" spans="1:32" ht="30.75" customHeight="1" outlineLevel="1" x14ac:dyDescent="0.2">
      <c r="A57" s="148">
        <v>17</v>
      </c>
      <c r="B57" s="82" t="s">
        <v>161</v>
      </c>
      <c r="C57" s="2" t="s">
        <v>170</v>
      </c>
      <c r="D57" s="77" t="s">
        <v>9</v>
      </c>
      <c r="E57" s="84">
        <v>600</v>
      </c>
      <c r="F57" s="116" t="s">
        <v>170</v>
      </c>
      <c r="G57" s="146"/>
      <c r="H57" s="154"/>
      <c r="I57" s="154"/>
      <c r="J57" s="154"/>
      <c r="K57" s="154"/>
      <c r="L57" s="154"/>
      <c r="M57" s="154"/>
      <c r="N57" s="154"/>
      <c r="O57" s="153"/>
      <c r="P57" s="153"/>
      <c r="R57" s="129"/>
      <c r="S57" s="129"/>
      <c r="T57" s="129"/>
      <c r="U57" s="129"/>
      <c r="V57" s="170"/>
      <c r="W57" s="129"/>
      <c r="X57" s="129"/>
      <c r="Y57" s="129"/>
      <c r="Z57" s="168"/>
      <c r="AA57" s="129"/>
      <c r="AB57" s="129"/>
      <c r="AC57" s="129"/>
      <c r="AD57" s="129"/>
      <c r="AE57" s="129"/>
      <c r="AF57" s="129"/>
    </row>
    <row r="58" spans="1:32" s="125" customFormat="1" ht="30.75" customHeight="1" outlineLevel="1" x14ac:dyDescent="0.2">
      <c r="A58" s="148">
        <v>18</v>
      </c>
      <c r="B58" s="134" t="s">
        <v>504</v>
      </c>
      <c r="C58" s="126" t="s">
        <v>496</v>
      </c>
      <c r="D58" s="127" t="s">
        <v>12</v>
      </c>
      <c r="E58" s="128">
        <v>400</v>
      </c>
      <c r="F58" s="126" t="s">
        <v>496</v>
      </c>
      <c r="G58" s="146"/>
      <c r="H58" s="154"/>
      <c r="I58" s="154"/>
      <c r="J58" s="154"/>
      <c r="K58" s="154"/>
      <c r="L58" s="154"/>
      <c r="M58" s="154"/>
      <c r="N58" s="154"/>
      <c r="O58" s="153">
        <v>400</v>
      </c>
      <c r="P58" s="161">
        <v>2400</v>
      </c>
      <c r="R58" s="129"/>
      <c r="S58" s="129"/>
      <c r="T58" s="129"/>
      <c r="U58" s="129"/>
      <c r="V58" s="170"/>
      <c r="W58" s="129"/>
      <c r="X58" s="129"/>
      <c r="Y58" s="129"/>
      <c r="Z58" s="168"/>
      <c r="AA58" s="129"/>
      <c r="AB58" s="129"/>
      <c r="AC58" s="129"/>
      <c r="AD58" s="129"/>
      <c r="AE58" s="129"/>
      <c r="AF58" s="129"/>
    </row>
    <row r="59" spans="1:32" s="125" customFormat="1" ht="30.75" customHeight="1" outlineLevel="1" x14ac:dyDescent="0.2">
      <c r="A59" s="148">
        <v>19</v>
      </c>
      <c r="B59" s="149"/>
      <c r="C59" s="126" t="s">
        <v>520</v>
      </c>
      <c r="D59" s="148" t="s">
        <v>9</v>
      </c>
      <c r="E59" s="128">
        <v>500</v>
      </c>
      <c r="F59" s="126" t="s">
        <v>520</v>
      </c>
      <c r="G59" s="146"/>
      <c r="H59" s="154"/>
      <c r="I59" s="154"/>
      <c r="J59" s="154"/>
      <c r="K59" s="154"/>
      <c r="L59" s="154"/>
      <c r="M59" s="154"/>
      <c r="N59" s="154"/>
      <c r="O59" s="153"/>
      <c r="P59" s="153"/>
      <c r="R59" s="129"/>
      <c r="S59" s="129"/>
      <c r="T59" s="129"/>
      <c r="U59" s="129"/>
      <c r="V59" s="170"/>
      <c r="W59" s="129"/>
      <c r="X59" s="129"/>
      <c r="Y59" s="129"/>
      <c r="Z59" s="168"/>
      <c r="AA59" s="129"/>
      <c r="AB59" s="129"/>
      <c r="AC59" s="129"/>
      <c r="AD59" s="129"/>
      <c r="AE59" s="129"/>
      <c r="AF59" s="129"/>
    </row>
    <row r="60" spans="1:32" ht="31.5" outlineLevel="1" x14ac:dyDescent="0.25">
      <c r="A60" s="148">
        <v>20</v>
      </c>
      <c r="B60" s="5" t="s">
        <v>392</v>
      </c>
      <c r="C60" s="41" t="s">
        <v>391</v>
      </c>
      <c r="D60" s="77" t="s">
        <v>393</v>
      </c>
      <c r="E60" s="84">
        <v>500</v>
      </c>
      <c r="F60" s="116"/>
      <c r="G60" s="146"/>
      <c r="H60" s="154"/>
      <c r="I60" s="154"/>
      <c r="J60" s="154"/>
      <c r="K60" s="155"/>
      <c r="L60" s="155"/>
      <c r="M60" s="155"/>
      <c r="N60" s="155"/>
      <c r="O60" s="153"/>
      <c r="P60" s="153"/>
      <c r="R60" s="129">
        <v>1000</v>
      </c>
      <c r="S60" s="129"/>
      <c r="T60" s="129"/>
      <c r="U60" s="129"/>
      <c r="V60" s="170"/>
      <c r="W60" s="129"/>
      <c r="X60" s="129"/>
      <c r="Y60" s="129"/>
      <c r="Z60" s="168"/>
      <c r="AA60" s="129"/>
      <c r="AB60" s="129"/>
      <c r="AC60" s="129"/>
      <c r="AD60" s="129"/>
      <c r="AE60" s="129"/>
      <c r="AF60" s="129"/>
    </row>
    <row r="61" spans="1:32" ht="31.5" outlineLevel="1" x14ac:dyDescent="0.2">
      <c r="A61" s="148">
        <v>21</v>
      </c>
      <c r="B61" s="5" t="s">
        <v>389</v>
      </c>
      <c r="C61" s="5" t="s">
        <v>390</v>
      </c>
      <c r="D61" s="3" t="s">
        <v>12</v>
      </c>
      <c r="E61" s="17">
        <v>600</v>
      </c>
      <c r="F61" s="4"/>
      <c r="G61" s="146"/>
      <c r="H61" s="154"/>
      <c r="I61" s="154"/>
      <c r="J61" s="154"/>
      <c r="K61" s="154"/>
      <c r="L61" s="154"/>
      <c r="M61" s="154"/>
      <c r="N61" s="154"/>
      <c r="O61" s="153"/>
      <c r="P61" s="153"/>
      <c r="R61" s="129">
        <v>1000</v>
      </c>
      <c r="S61" s="129"/>
      <c r="T61" s="129"/>
      <c r="U61" s="129"/>
      <c r="V61" s="170"/>
      <c r="W61" s="129"/>
      <c r="X61" s="129"/>
      <c r="Y61" s="129"/>
      <c r="Z61" s="168"/>
      <c r="AA61" s="129"/>
      <c r="AB61" s="129"/>
      <c r="AC61" s="129"/>
      <c r="AD61" s="129"/>
      <c r="AE61" s="129"/>
      <c r="AF61" s="129"/>
    </row>
    <row r="62" spans="1:32" ht="23.25" x14ac:dyDescent="0.2">
      <c r="A62" s="316" t="s">
        <v>11</v>
      </c>
      <c r="B62" s="317"/>
      <c r="C62" s="317"/>
      <c r="D62" s="317"/>
      <c r="E62" s="317"/>
      <c r="F62" s="317"/>
      <c r="G62" s="146"/>
      <c r="H62" s="154"/>
      <c r="I62" s="154"/>
      <c r="J62" s="154"/>
      <c r="K62" s="154"/>
      <c r="L62" s="154"/>
      <c r="M62" s="154"/>
      <c r="N62" s="154"/>
      <c r="O62" s="153"/>
      <c r="P62" s="153"/>
      <c r="R62" s="129"/>
      <c r="S62" s="129"/>
      <c r="T62" s="129"/>
      <c r="U62" s="129"/>
      <c r="V62" s="170"/>
      <c r="W62" s="129"/>
      <c r="X62" s="129"/>
      <c r="Y62" s="129"/>
      <c r="Z62" s="168"/>
      <c r="AA62" s="129"/>
      <c r="AB62" s="129"/>
      <c r="AC62" s="129"/>
      <c r="AD62" s="129"/>
      <c r="AE62" s="129"/>
      <c r="AF62" s="129"/>
    </row>
    <row r="63" spans="1:32" outlineLevel="1" x14ac:dyDescent="0.2">
      <c r="A63" s="3">
        <v>1</v>
      </c>
      <c r="B63" s="79" t="s">
        <v>171</v>
      </c>
      <c r="C63" s="79" t="s">
        <v>275</v>
      </c>
      <c r="D63" s="3" t="s">
        <v>12</v>
      </c>
      <c r="E63" s="17">
        <v>350</v>
      </c>
      <c r="F63" s="108" t="s">
        <v>274</v>
      </c>
      <c r="G63" s="146"/>
      <c r="H63" s="154">
        <v>35200</v>
      </c>
      <c r="I63" s="154">
        <v>38250</v>
      </c>
      <c r="J63" s="154">
        <f>6750+1200+12500</f>
        <v>20450</v>
      </c>
      <c r="K63" s="154">
        <f>20500+7000</f>
        <v>27500</v>
      </c>
      <c r="L63" s="154">
        <f>4500+1800+18000</f>
        <v>24300</v>
      </c>
      <c r="M63" s="154">
        <f>16000+8750</f>
        <v>24750</v>
      </c>
      <c r="N63" s="154">
        <f>18750+12750</f>
        <v>31500</v>
      </c>
      <c r="O63" s="153">
        <f>14750+17000+250</f>
        <v>32000</v>
      </c>
      <c r="P63" s="153">
        <f>1250+15250+19000</f>
        <v>35500</v>
      </c>
      <c r="R63" s="129">
        <v>150</v>
      </c>
      <c r="S63" s="164"/>
      <c r="T63" s="129"/>
      <c r="U63" s="129"/>
      <c r="V63" s="170"/>
      <c r="W63" s="129"/>
      <c r="X63" s="129"/>
      <c r="Y63" s="129"/>
      <c r="Z63" s="168"/>
      <c r="AA63" s="129"/>
      <c r="AB63" s="129"/>
      <c r="AC63" s="129"/>
      <c r="AD63" s="129">
        <v>350</v>
      </c>
      <c r="AE63" s="129"/>
      <c r="AF63" s="129"/>
    </row>
    <row r="64" spans="1:32" outlineLevel="1" x14ac:dyDescent="0.2">
      <c r="A64" s="3">
        <f>A63+1</f>
        <v>2</v>
      </c>
      <c r="B64" s="79" t="s">
        <v>276</v>
      </c>
      <c r="C64" s="194"/>
      <c r="D64" s="188" t="s">
        <v>565</v>
      </c>
      <c r="E64" s="128">
        <v>300</v>
      </c>
      <c r="F64" s="186" t="s">
        <v>274</v>
      </c>
      <c r="G64" s="146"/>
      <c r="H64" s="154">
        <v>1360</v>
      </c>
      <c r="I64" s="154">
        <v>170</v>
      </c>
      <c r="J64" s="154"/>
      <c r="K64" s="154">
        <v>1600</v>
      </c>
      <c r="L64" s="154">
        <f>1200+1440</f>
        <v>2640</v>
      </c>
      <c r="M64" s="154">
        <v>600</v>
      </c>
      <c r="N64" s="154"/>
      <c r="O64" s="153">
        <v>3200</v>
      </c>
      <c r="P64" s="153">
        <v>400</v>
      </c>
      <c r="R64" s="129"/>
      <c r="S64" s="129"/>
      <c r="T64" s="129"/>
      <c r="U64" s="129"/>
      <c r="V64" s="170"/>
      <c r="W64" s="129"/>
      <c r="X64" s="129"/>
      <c r="Y64" s="129"/>
      <c r="Z64" s="168"/>
      <c r="AA64" s="129"/>
      <c r="AB64" s="129"/>
      <c r="AC64" s="129"/>
      <c r="AD64" s="129">
        <v>200</v>
      </c>
      <c r="AE64" s="129">
        <v>200</v>
      </c>
      <c r="AF64" s="129"/>
    </row>
    <row r="65" spans="1:32" outlineLevel="1" x14ac:dyDescent="0.2">
      <c r="A65" s="305">
        <v>3</v>
      </c>
      <c r="B65" s="306" t="s">
        <v>277</v>
      </c>
      <c r="C65" s="194"/>
      <c r="D65" s="188" t="s">
        <v>550</v>
      </c>
      <c r="E65" s="128">
        <v>250</v>
      </c>
      <c r="F65" s="186" t="s">
        <v>274</v>
      </c>
      <c r="G65" s="146"/>
      <c r="H65" s="154"/>
      <c r="I65" s="154"/>
      <c r="J65" s="154"/>
      <c r="K65" s="154"/>
      <c r="L65" s="154"/>
      <c r="M65" s="154"/>
      <c r="N65" s="154"/>
      <c r="O65" s="153"/>
      <c r="P65" s="153"/>
      <c r="R65" s="129"/>
      <c r="S65" s="129"/>
      <c r="T65" s="129"/>
      <c r="U65" s="129"/>
      <c r="V65" s="170"/>
      <c r="W65" s="129"/>
      <c r="X65" s="129"/>
      <c r="Y65" s="129"/>
      <c r="Z65" s="168"/>
      <c r="AA65" s="129"/>
      <c r="AB65" s="129"/>
      <c r="AC65" s="129"/>
      <c r="AD65" s="129"/>
      <c r="AE65" s="129"/>
      <c r="AF65" s="129"/>
    </row>
    <row r="66" spans="1:32" s="125" customFormat="1" outlineLevel="1" x14ac:dyDescent="0.2">
      <c r="A66" s="305"/>
      <c r="B66" s="307"/>
      <c r="C66" s="126" t="s">
        <v>191</v>
      </c>
      <c r="D66" s="188" t="s">
        <v>12</v>
      </c>
      <c r="E66" s="128">
        <v>240</v>
      </c>
      <c r="F66" s="4" t="s">
        <v>191</v>
      </c>
      <c r="G66" s="146"/>
      <c r="H66" s="154"/>
      <c r="I66" s="154"/>
      <c r="J66" s="154"/>
      <c r="K66" s="154"/>
      <c r="L66" s="154"/>
      <c r="M66" s="154"/>
      <c r="N66" s="154"/>
      <c r="O66" s="153"/>
      <c r="P66" s="153"/>
      <c r="R66" s="129"/>
      <c r="S66" s="129"/>
      <c r="T66" s="129"/>
      <c r="U66" s="129"/>
      <c r="V66" s="170"/>
      <c r="W66" s="129"/>
      <c r="X66" s="129"/>
      <c r="Y66" s="129"/>
      <c r="Z66" s="168"/>
      <c r="AA66" s="129"/>
      <c r="AB66" s="129"/>
      <c r="AC66" s="129"/>
      <c r="AD66" s="129"/>
      <c r="AE66" s="129"/>
      <c r="AF66" s="129"/>
    </row>
    <row r="67" spans="1:32" s="125" customFormat="1" outlineLevel="1" x14ac:dyDescent="0.2">
      <c r="A67" s="305"/>
      <c r="B67" s="307"/>
      <c r="C67" s="194"/>
      <c r="D67" s="188" t="s">
        <v>566</v>
      </c>
      <c r="E67" s="128">
        <v>200</v>
      </c>
      <c r="F67" s="4" t="s">
        <v>191</v>
      </c>
      <c r="G67" s="146"/>
      <c r="H67" s="154"/>
      <c r="I67" s="154"/>
      <c r="J67" s="154"/>
      <c r="K67" s="154"/>
      <c r="L67" s="154"/>
      <c r="M67" s="154"/>
      <c r="N67" s="154"/>
      <c r="O67" s="153"/>
      <c r="P67" s="153"/>
      <c r="R67" s="129"/>
      <c r="S67" s="129"/>
      <c r="T67" s="129"/>
      <c r="U67" s="129"/>
      <c r="V67" s="170"/>
      <c r="W67" s="129"/>
      <c r="X67" s="129"/>
      <c r="Y67" s="129"/>
      <c r="Z67" s="168"/>
      <c r="AA67" s="129"/>
      <c r="AB67" s="129"/>
      <c r="AC67" s="129"/>
      <c r="AD67" s="129"/>
      <c r="AE67" s="129"/>
      <c r="AF67" s="129"/>
    </row>
    <row r="68" spans="1:32" ht="18.75" customHeight="1" outlineLevel="1" x14ac:dyDescent="0.2">
      <c r="A68" s="305"/>
      <c r="B68" s="307"/>
      <c r="C68" s="2"/>
      <c r="D68" s="3" t="s">
        <v>550</v>
      </c>
      <c r="E68" s="17">
        <v>180</v>
      </c>
      <c r="F68" s="4" t="s">
        <v>191</v>
      </c>
      <c r="G68" s="146"/>
      <c r="H68" s="154">
        <v>700</v>
      </c>
      <c r="I68" s="154"/>
      <c r="J68" s="154">
        <v>700</v>
      </c>
      <c r="K68" s="154">
        <v>4750</v>
      </c>
      <c r="L68" s="154">
        <v>1100</v>
      </c>
      <c r="M68" s="154"/>
      <c r="N68" s="154">
        <v>300</v>
      </c>
      <c r="O68" s="153"/>
      <c r="P68" s="153">
        <v>1300</v>
      </c>
      <c r="R68" s="129">
        <v>150</v>
      </c>
      <c r="S68" s="129"/>
      <c r="T68" s="129"/>
      <c r="U68" s="129"/>
      <c r="V68" s="170"/>
      <c r="W68" s="129">
        <v>460</v>
      </c>
      <c r="X68" s="129"/>
      <c r="Y68" s="129"/>
      <c r="Z68" s="168"/>
      <c r="AA68" s="129"/>
      <c r="AB68" s="129">
        <v>80</v>
      </c>
      <c r="AC68" s="129"/>
      <c r="AD68" s="129"/>
      <c r="AE68" s="129"/>
      <c r="AF68" s="129"/>
    </row>
    <row r="69" spans="1:32" ht="16.5" customHeight="1" outlineLevel="1" x14ac:dyDescent="0.2">
      <c r="A69" s="305"/>
      <c r="B69" s="308"/>
      <c r="C69" s="2" t="s">
        <v>280</v>
      </c>
      <c r="D69" s="2"/>
      <c r="E69" s="2"/>
      <c r="F69" s="318" t="s">
        <v>279</v>
      </c>
      <c r="G69" s="146"/>
      <c r="H69" s="154">
        <v>120</v>
      </c>
      <c r="I69" s="154">
        <v>2760</v>
      </c>
      <c r="J69" s="154">
        <v>360</v>
      </c>
      <c r="K69" s="154">
        <v>2880</v>
      </c>
      <c r="L69" s="154">
        <v>1200</v>
      </c>
      <c r="M69" s="154">
        <v>600</v>
      </c>
      <c r="N69" s="154">
        <v>1920</v>
      </c>
      <c r="O69" s="153">
        <v>120</v>
      </c>
      <c r="P69" s="153">
        <v>840</v>
      </c>
      <c r="R69" s="129"/>
      <c r="S69" s="129"/>
      <c r="T69" s="129"/>
      <c r="U69" s="129"/>
      <c r="V69" s="170"/>
      <c r="W69" s="129"/>
      <c r="X69" s="129"/>
      <c r="Y69" s="129"/>
      <c r="Z69" s="168"/>
      <c r="AA69" s="129"/>
      <c r="AB69" s="129"/>
      <c r="AC69" s="129"/>
      <c r="AD69" s="129"/>
      <c r="AE69" s="129"/>
      <c r="AF69" s="129"/>
    </row>
    <row r="70" spans="1:32" ht="14.25" customHeight="1" outlineLevel="1" x14ac:dyDescent="0.2">
      <c r="A70" s="3">
        <v>4</v>
      </c>
      <c r="B70" s="79" t="s">
        <v>197</v>
      </c>
      <c r="C70" s="3" t="s">
        <v>13</v>
      </c>
      <c r="D70" s="3" t="s">
        <v>12</v>
      </c>
      <c r="E70" s="17">
        <v>120</v>
      </c>
      <c r="F70" s="319"/>
      <c r="G70" s="146"/>
      <c r="H70" s="154">
        <v>21450</v>
      </c>
      <c r="I70" s="154">
        <v>26250</v>
      </c>
      <c r="J70" s="154">
        <v>9500</v>
      </c>
      <c r="K70" s="154">
        <v>3500</v>
      </c>
      <c r="L70" s="154">
        <v>13500</v>
      </c>
      <c r="M70" s="154">
        <v>4975</v>
      </c>
      <c r="N70" s="154">
        <v>3250</v>
      </c>
      <c r="O70" s="153">
        <v>750</v>
      </c>
      <c r="P70" s="153">
        <f>750+2250+3500</f>
        <v>6500</v>
      </c>
      <c r="R70" s="129"/>
      <c r="S70" s="129"/>
      <c r="T70" s="129"/>
      <c r="U70" s="129"/>
      <c r="V70" s="170"/>
      <c r="W70" s="129"/>
      <c r="X70" s="129"/>
      <c r="Y70" s="129"/>
      <c r="Z70" s="168"/>
      <c r="AA70" s="129"/>
      <c r="AB70" s="129"/>
      <c r="AC70" s="129"/>
      <c r="AD70" s="129"/>
      <c r="AE70" s="129"/>
      <c r="AF70" s="129"/>
    </row>
    <row r="71" spans="1:32" ht="17.25" customHeight="1" outlineLevel="1" x14ac:dyDescent="0.2">
      <c r="A71" s="3">
        <f>A70+1</f>
        <v>5</v>
      </c>
      <c r="B71" s="79" t="s">
        <v>192</v>
      </c>
      <c r="D71" s="3" t="s">
        <v>566</v>
      </c>
      <c r="E71" s="17">
        <v>110</v>
      </c>
      <c r="F71" s="320"/>
      <c r="G71" s="146"/>
      <c r="H71" s="154">
        <v>1750</v>
      </c>
      <c r="I71" s="154">
        <v>2000</v>
      </c>
      <c r="J71" s="154">
        <v>500</v>
      </c>
      <c r="K71" s="154">
        <v>3500</v>
      </c>
      <c r="L71" s="154">
        <v>750</v>
      </c>
      <c r="M71" s="154">
        <v>3750</v>
      </c>
      <c r="N71" s="154">
        <f>500+450</f>
        <v>950</v>
      </c>
      <c r="O71" s="153">
        <v>750</v>
      </c>
      <c r="P71" s="153">
        <f>1250+225+3250</f>
        <v>4725</v>
      </c>
      <c r="R71" s="129"/>
      <c r="S71" s="129"/>
      <c r="T71" s="129"/>
      <c r="U71" s="129"/>
      <c r="V71" s="170"/>
      <c r="W71" s="129">
        <v>640</v>
      </c>
      <c r="X71" s="129"/>
      <c r="Y71" s="129"/>
      <c r="Z71" s="168">
        <v>530</v>
      </c>
      <c r="AA71" s="129"/>
      <c r="AB71" s="129"/>
      <c r="AC71" s="129"/>
      <c r="AD71" s="129"/>
      <c r="AE71" s="129">
        <v>300</v>
      </c>
      <c r="AF71" s="129"/>
    </row>
    <row r="72" spans="1:32" outlineLevel="1" x14ac:dyDescent="0.2">
      <c r="A72" s="3">
        <v>6</v>
      </c>
      <c r="B72" s="79" t="s">
        <v>194</v>
      </c>
      <c r="C72" s="188"/>
      <c r="D72" s="188" t="s">
        <v>550</v>
      </c>
      <c r="E72" s="128">
        <v>100</v>
      </c>
      <c r="F72" s="318" t="s">
        <v>279</v>
      </c>
      <c r="G72" s="146"/>
      <c r="H72" s="154"/>
      <c r="I72" s="154"/>
      <c r="J72" s="154"/>
      <c r="K72" s="154"/>
      <c r="L72" s="154"/>
      <c r="M72" s="154"/>
      <c r="N72" s="154"/>
      <c r="O72" s="153"/>
      <c r="P72" s="153"/>
      <c r="R72" s="129"/>
      <c r="S72" s="129"/>
      <c r="T72" s="129"/>
      <c r="U72" s="129"/>
      <c r="V72" s="170"/>
      <c r="W72" s="129"/>
      <c r="X72" s="129"/>
      <c r="Y72" s="129"/>
      <c r="Z72" s="168">
        <v>470</v>
      </c>
      <c r="AA72" s="129"/>
      <c r="AB72" s="129"/>
      <c r="AC72" s="129"/>
      <c r="AD72" s="129"/>
      <c r="AE72" s="129"/>
      <c r="AF72" s="129"/>
    </row>
    <row r="73" spans="1:32" outlineLevel="1" x14ac:dyDescent="0.2">
      <c r="A73" s="3">
        <v>7</v>
      </c>
      <c r="B73" s="79" t="s">
        <v>193</v>
      </c>
      <c r="C73" s="3" t="s">
        <v>14</v>
      </c>
      <c r="D73" s="188" t="s">
        <v>12</v>
      </c>
      <c r="E73" s="128">
        <v>130</v>
      </c>
      <c r="F73" s="319"/>
      <c r="G73" s="146"/>
      <c r="H73" s="154"/>
      <c r="I73" s="154">
        <v>680</v>
      </c>
      <c r="J73" s="154"/>
      <c r="K73" s="154">
        <v>170</v>
      </c>
      <c r="L73" s="154"/>
      <c r="M73" s="154"/>
      <c r="N73" s="154"/>
      <c r="O73" s="153"/>
      <c r="P73" s="153"/>
      <c r="R73" s="129">
        <v>150</v>
      </c>
      <c r="S73" s="129"/>
      <c r="T73" s="129"/>
      <c r="U73" s="129"/>
      <c r="V73" s="170"/>
      <c r="W73" s="129"/>
      <c r="X73" s="129"/>
      <c r="Y73" s="129"/>
      <c r="Z73" s="168"/>
      <c r="AA73" s="129"/>
      <c r="AB73" s="129"/>
      <c r="AC73" s="129"/>
      <c r="AD73" s="129"/>
      <c r="AE73" s="129"/>
      <c r="AF73" s="129">
        <v>200</v>
      </c>
    </row>
    <row r="74" spans="1:32" outlineLevel="1" x14ac:dyDescent="0.2">
      <c r="A74" s="3">
        <v>8</v>
      </c>
      <c r="B74" s="79" t="s">
        <v>195</v>
      </c>
      <c r="C74" s="188"/>
      <c r="D74" s="188" t="s">
        <v>566</v>
      </c>
      <c r="E74" s="128">
        <v>120</v>
      </c>
      <c r="F74" s="320"/>
      <c r="G74" s="146"/>
      <c r="H74" s="154">
        <v>18020</v>
      </c>
      <c r="I74" s="154">
        <v>28050</v>
      </c>
      <c r="J74" s="154">
        <v>11900</v>
      </c>
      <c r="K74" s="154">
        <v>20640</v>
      </c>
      <c r="L74" s="154">
        <v>14200</v>
      </c>
      <c r="M74" s="154">
        <v>16200</v>
      </c>
      <c r="N74" s="154">
        <v>8000</v>
      </c>
      <c r="O74" s="153">
        <v>10950</v>
      </c>
      <c r="P74" s="161">
        <f>15400+1440</f>
        <v>16840</v>
      </c>
      <c r="R74" s="129"/>
      <c r="S74" s="129"/>
      <c r="T74" s="129"/>
      <c r="U74" s="129"/>
      <c r="V74" s="170"/>
      <c r="W74" s="129"/>
      <c r="X74" s="129"/>
      <c r="Y74" s="129"/>
      <c r="Z74" s="168"/>
      <c r="AA74" s="129"/>
      <c r="AB74" s="129"/>
      <c r="AC74" s="129"/>
      <c r="AD74" s="129">
        <v>300</v>
      </c>
      <c r="AE74" s="129">
        <v>120</v>
      </c>
      <c r="AF74" s="129"/>
    </row>
    <row r="75" spans="1:32" outlineLevel="1" x14ac:dyDescent="0.2">
      <c r="A75" s="3">
        <v>9</v>
      </c>
      <c r="B75" s="79" t="s">
        <v>291</v>
      </c>
      <c r="C75" s="188"/>
      <c r="D75" s="188" t="s">
        <v>550</v>
      </c>
      <c r="E75" s="128">
        <v>110</v>
      </c>
      <c r="F75" s="184" t="s">
        <v>279</v>
      </c>
      <c r="G75" s="146"/>
      <c r="H75" s="154">
        <v>4960</v>
      </c>
      <c r="I75" s="154">
        <v>4400</v>
      </c>
      <c r="J75" s="154">
        <v>5400</v>
      </c>
      <c r="K75" s="154">
        <v>3000</v>
      </c>
      <c r="L75" s="154">
        <v>4000</v>
      </c>
      <c r="M75" s="154">
        <v>6400</v>
      </c>
      <c r="N75" s="154"/>
      <c r="O75" s="153">
        <v>4800</v>
      </c>
      <c r="P75" s="153">
        <v>3600</v>
      </c>
      <c r="R75" s="129">
        <v>200</v>
      </c>
      <c r="S75" s="129">
        <v>300</v>
      </c>
      <c r="T75" s="129"/>
      <c r="U75" s="129"/>
      <c r="V75" s="170"/>
      <c r="W75" s="129"/>
      <c r="X75" s="129"/>
      <c r="Y75" s="129"/>
      <c r="Z75" s="168">
        <v>600</v>
      </c>
      <c r="AA75" s="129"/>
      <c r="AB75" s="129"/>
      <c r="AC75" s="129"/>
      <c r="AD75" s="129">
        <v>530</v>
      </c>
      <c r="AE75" s="129">
        <v>400</v>
      </c>
      <c r="AF75" s="129"/>
    </row>
    <row r="76" spans="1:32" ht="31.5" outlineLevel="1" x14ac:dyDescent="0.2">
      <c r="A76" s="3">
        <v>10</v>
      </c>
      <c r="B76" s="79" t="s">
        <v>196</v>
      </c>
      <c r="C76" s="2" t="s">
        <v>278</v>
      </c>
      <c r="D76" s="188" t="s">
        <v>12</v>
      </c>
      <c r="E76" s="128">
        <v>280</v>
      </c>
      <c r="F76" s="4" t="s">
        <v>281</v>
      </c>
      <c r="G76" s="146"/>
      <c r="H76" s="154">
        <v>2600</v>
      </c>
      <c r="I76" s="154">
        <v>2400</v>
      </c>
      <c r="J76" s="154">
        <v>4400</v>
      </c>
      <c r="K76" s="154">
        <f>5450+1500</f>
        <v>6950</v>
      </c>
      <c r="L76" s="154">
        <v>3000</v>
      </c>
      <c r="M76" s="154">
        <f>6000+2250</f>
        <v>8250</v>
      </c>
      <c r="N76" s="154">
        <f>10000+250</f>
        <v>10250</v>
      </c>
      <c r="O76" s="153">
        <v>5250</v>
      </c>
      <c r="P76" s="153">
        <f>8500+1000</f>
        <v>9500</v>
      </c>
      <c r="R76" s="129">
        <v>150</v>
      </c>
      <c r="S76" s="129">
        <v>100</v>
      </c>
      <c r="T76" s="129"/>
      <c r="U76" s="129"/>
      <c r="V76" s="170"/>
      <c r="W76" s="129"/>
      <c r="X76" s="129"/>
      <c r="Y76" s="129"/>
      <c r="Z76" s="168">
        <v>580</v>
      </c>
      <c r="AA76" s="129"/>
      <c r="AB76" s="129"/>
      <c r="AC76" s="129"/>
      <c r="AD76" s="129"/>
      <c r="AE76" s="129"/>
      <c r="AF76" s="129">
        <v>250</v>
      </c>
    </row>
    <row r="77" spans="1:32" outlineLevel="1" x14ac:dyDescent="0.2">
      <c r="A77" s="3">
        <v>11</v>
      </c>
      <c r="B77" s="79" t="s">
        <v>294</v>
      </c>
      <c r="C77" s="188" t="s">
        <v>567</v>
      </c>
      <c r="D77" s="188" t="s">
        <v>565</v>
      </c>
      <c r="E77" s="128">
        <v>250</v>
      </c>
      <c r="F77" s="4" t="s">
        <v>281</v>
      </c>
      <c r="G77" s="146"/>
      <c r="H77" s="154">
        <v>480</v>
      </c>
      <c r="I77" s="154"/>
      <c r="J77" s="154"/>
      <c r="K77" s="154">
        <v>2100</v>
      </c>
      <c r="L77" s="154">
        <v>1800</v>
      </c>
      <c r="M77" s="154"/>
      <c r="N77" s="154">
        <v>2400</v>
      </c>
      <c r="O77" s="153"/>
      <c r="P77" s="153"/>
      <c r="R77" s="129">
        <v>200</v>
      </c>
      <c r="S77" s="129"/>
      <c r="T77" s="129"/>
      <c r="U77" s="129"/>
      <c r="V77" s="170"/>
      <c r="W77" s="129">
        <v>880</v>
      </c>
      <c r="X77" s="129"/>
      <c r="Y77" s="129"/>
      <c r="Z77" s="168"/>
      <c r="AA77" s="129"/>
      <c r="AB77" s="129"/>
      <c r="AC77" s="129"/>
      <c r="AD77" s="129"/>
      <c r="AE77" s="129"/>
      <c r="AF77" s="129"/>
    </row>
    <row r="78" spans="1:32" outlineLevel="1" x14ac:dyDescent="0.2">
      <c r="A78" s="3">
        <v>12</v>
      </c>
      <c r="B78" s="79" t="s">
        <v>297</v>
      </c>
      <c r="C78" s="188"/>
      <c r="D78" s="3" t="s">
        <v>551</v>
      </c>
      <c r="E78" s="17">
        <v>230</v>
      </c>
      <c r="F78" s="4" t="s">
        <v>281</v>
      </c>
      <c r="G78" s="146"/>
      <c r="H78" s="154"/>
      <c r="I78" s="154"/>
      <c r="J78" s="154"/>
      <c r="K78" s="154"/>
      <c r="L78" s="154"/>
      <c r="M78" s="154"/>
      <c r="N78" s="154"/>
      <c r="O78" s="153"/>
      <c r="P78" s="153"/>
      <c r="R78" s="129"/>
      <c r="S78" s="129"/>
      <c r="T78" s="129"/>
      <c r="U78" s="129"/>
      <c r="V78" s="170"/>
      <c r="W78" s="129" t="s">
        <v>535</v>
      </c>
      <c r="X78" s="129"/>
      <c r="Y78" s="129"/>
      <c r="Z78" s="168"/>
      <c r="AA78" s="129"/>
      <c r="AB78" s="129"/>
      <c r="AC78" s="129"/>
      <c r="AD78" s="129"/>
      <c r="AE78" s="129"/>
      <c r="AF78" s="129"/>
    </row>
    <row r="79" spans="1:32" outlineLevel="1" x14ac:dyDescent="0.2">
      <c r="A79" s="3">
        <v>13</v>
      </c>
      <c r="B79" s="79" t="s">
        <v>199</v>
      </c>
      <c r="C79" s="126" t="s">
        <v>553</v>
      </c>
      <c r="D79" s="188" t="s">
        <v>12</v>
      </c>
      <c r="E79" s="128">
        <v>280</v>
      </c>
      <c r="F79" s="4" t="s">
        <v>198</v>
      </c>
      <c r="G79" s="146"/>
      <c r="H79" s="154"/>
      <c r="I79" s="154">
        <v>1050</v>
      </c>
      <c r="J79" s="154"/>
      <c r="K79" s="154">
        <v>1050</v>
      </c>
      <c r="L79" s="154"/>
      <c r="M79" s="154"/>
      <c r="N79" s="154">
        <v>1200</v>
      </c>
      <c r="O79" s="153"/>
      <c r="P79" s="153">
        <v>1350</v>
      </c>
      <c r="R79" s="129">
        <v>150</v>
      </c>
      <c r="S79" s="129"/>
      <c r="T79" s="129"/>
      <c r="U79" s="129"/>
      <c r="V79" s="170"/>
      <c r="W79" s="129" t="s">
        <v>535</v>
      </c>
      <c r="X79" s="129"/>
      <c r="Y79" s="129"/>
      <c r="Z79" s="168">
        <v>390</v>
      </c>
      <c r="AA79" s="129"/>
      <c r="AB79" s="129"/>
      <c r="AC79" s="129"/>
      <c r="AD79" s="129"/>
      <c r="AE79" s="129">
        <v>370</v>
      </c>
      <c r="AF79" s="129"/>
    </row>
    <row r="80" spans="1:32" outlineLevel="1" x14ac:dyDescent="0.2">
      <c r="A80" s="3">
        <v>14</v>
      </c>
      <c r="B80" s="79" t="s">
        <v>201</v>
      </c>
      <c r="C80" s="126"/>
      <c r="D80" s="188" t="s">
        <v>565</v>
      </c>
      <c r="E80" s="128">
        <v>250</v>
      </c>
      <c r="F80" s="4" t="s">
        <v>198</v>
      </c>
      <c r="G80" s="146"/>
      <c r="H80" s="154"/>
      <c r="I80" s="154">
        <v>1400</v>
      </c>
      <c r="J80" s="154">
        <v>2000</v>
      </c>
      <c r="K80" s="154">
        <v>1200</v>
      </c>
      <c r="L80" s="154">
        <v>800</v>
      </c>
      <c r="M80" s="154">
        <v>400</v>
      </c>
      <c r="N80" s="154">
        <v>600</v>
      </c>
      <c r="O80" s="153"/>
      <c r="P80" s="153">
        <v>2600</v>
      </c>
      <c r="R80" s="129"/>
      <c r="S80" s="129"/>
      <c r="T80" s="129"/>
      <c r="U80" s="129"/>
      <c r="V80" s="170"/>
      <c r="W80" s="129"/>
      <c r="X80" s="129"/>
      <c r="Y80" s="129"/>
      <c r="Z80" s="168"/>
      <c r="AA80" s="129"/>
      <c r="AB80" s="129"/>
      <c r="AC80" s="129"/>
      <c r="AD80" s="129">
        <v>330</v>
      </c>
      <c r="AE80" s="129"/>
      <c r="AF80" s="129"/>
    </row>
    <row r="81" spans="1:32" outlineLevel="1" x14ac:dyDescent="0.2">
      <c r="A81" s="3">
        <v>15</v>
      </c>
      <c r="B81" s="79" t="s">
        <v>172</v>
      </c>
      <c r="C81" s="2"/>
      <c r="D81" s="3" t="s">
        <v>550</v>
      </c>
      <c r="E81" s="17">
        <v>230</v>
      </c>
      <c r="F81" s="4" t="s">
        <v>198</v>
      </c>
      <c r="G81" s="146"/>
      <c r="H81" s="154">
        <v>20000</v>
      </c>
      <c r="I81" s="154">
        <v>15100</v>
      </c>
      <c r="J81" s="154">
        <v>10250</v>
      </c>
      <c r="K81" s="154">
        <v>11000</v>
      </c>
      <c r="L81" s="154">
        <v>13750</v>
      </c>
      <c r="M81" s="154">
        <v>1750</v>
      </c>
      <c r="N81" s="154">
        <v>8750</v>
      </c>
      <c r="O81" s="153">
        <v>1500</v>
      </c>
      <c r="P81" s="153">
        <v>5250</v>
      </c>
      <c r="R81" s="129"/>
      <c r="S81" s="129">
        <v>250</v>
      </c>
      <c r="T81" s="129"/>
      <c r="U81" s="129"/>
      <c r="V81" s="170"/>
      <c r="W81" s="129"/>
      <c r="X81" s="129"/>
      <c r="Y81" s="129"/>
      <c r="Z81" s="168">
        <v>320</v>
      </c>
      <c r="AA81" s="129"/>
      <c r="AB81" s="129"/>
      <c r="AC81" s="129"/>
      <c r="AD81" s="129"/>
      <c r="AE81" s="129">
        <v>330</v>
      </c>
      <c r="AF81" s="129"/>
    </row>
    <row r="82" spans="1:32" s="120" customFormat="1" ht="31.5" outlineLevel="1" x14ac:dyDescent="0.2">
      <c r="A82" s="122">
        <v>16</v>
      </c>
      <c r="B82" s="124"/>
      <c r="C82" s="22" t="s">
        <v>283</v>
      </c>
      <c r="D82" s="188" t="s">
        <v>12</v>
      </c>
      <c r="E82" s="128">
        <v>220</v>
      </c>
      <c r="F82" s="24" t="s">
        <v>284</v>
      </c>
      <c r="G82" s="146"/>
      <c r="H82" s="154"/>
      <c r="I82" s="154"/>
      <c r="J82" s="154"/>
      <c r="K82" s="154"/>
      <c r="L82" s="154">
        <v>2350</v>
      </c>
      <c r="M82" s="154">
        <v>39090</v>
      </c>
      <c r="N82" s="154">
        <v>37200</v>
      </c>
      <c r="O82" s="153">
        <v>38700</v>
      </c>
      <c r="P82" s="153">
        <v>30600</v>
      </c>
      <c r="Q82" s="125"/>
      <c r="R82" s="129"/>
      <c r="S82" s="129"/>
      <c r="T82" s="129"/>
      <c r="U82" s="129"/>
      <c r="V82" s="170"/>
      <c r="W82" s="129"/>
      <c r="X82" s="129"/>
      <c r="Y82" s="129"/>
      <c r="Z82" s="168"/>
      <c r="AA82" s="129"/>
      <c r="AB82" s="129"/>
      <c r="AC82" s="129"/>
      <c r="AD82" s="129"/>
      <c r="AE82" s="129"/>
      <c r="AF82" s="129"/>
    </row>
    <row r="83" spans="1:32" outlineLevel="1" x14ac:dyDescent="0.2">
      <c r="A83" s="3">
        <v>17</v>
      </c>
      <c r="B83" s="79" t="s">
        <v>205</v>
      </c>
      <c r="C83" s="126"/>
      <c r="D83" s="188" t="s">
        <v>565</v>
      </c>
      <c r="E83" s="128">
        <v>200</v>
      </c>
      <c r="F83" s="24" t="s">
        <v>284</v>
      </c>
      <c r="G83" s="146"/>
      <c r="H83" s="154">
        <v>1000</v>
      </c>
      <c r="I83" s="154"/>
      <c r="J83" s="154"/>
      <c r="K83" s="154"/>
      <c r="L83" s="154"/>
      <c r="M83" s="154"/>
      <c r="N83" s="154"/>
      <c r="O83" s="153"/>
      <c r="P83" s="153"/>
      <c r="R83" s="129"/>
      <c r="S83" s="129"/>
      <c r="T83" s="129"/>
      <c r="U83" s="129"/>
      <c r="V83" s="170"/>
      <c r="W83" s="129"/>
      <c r="X83" s="129"/>
      <c r="Y83" s="129"/>
      <c r="Z83" s="168"/>
      <c r="AA83" s="129"/>
      <c r="AB83" s="129"/>
      <c r="AC83" s="129"/>
      <c r="AD83" s="129"/>
      <c r="AE83" s="129"/>
      <c r="AF83" s="129"/>
    </row>
    <row r="84" spans="1:32" ht="31.5" outlineLevel="1" x14ac:dyDescent="0.2">
      <c r="A84" s="3">
        <v>18</v>
      </c>
      <c r="B84" s="85" t="s">
        <v>395</v>
      </c>
      <c r="D84" s="3" t="s">
        <v>550</v>
      </c>
      <c r="E84" s="17">
        <v>180</v>
      </c>
      <c r="F84" s="24" t="s">
        <v>284</v>
      </c>
      <c r="G84" s="146"/>
      <c r="H84" s="154">
        <v>12000</v>
      </c>
      <c r="I84" s="154">
        <v>18450</v>
      </c>
      <c r="J84" s="154">
        <v>5550</v>
      </c>
      <c r="K84" s="154">
        <v>6600</v>
      </c>
      <c r="L84" s="154">
        <f>8850+135</f>
        <v>8985</v>
      </c>
      <c r="M84" s="154">
        <v>5550</v>
      </c>
      <c r="N84" s="154">
        <v>4500</v>
      </c>
      <c r="O84" s="153">
        <v>150</v>
      </c>
      <c r="P84" s="153">
        <v>750</v>
      </c>
      <c r="R84" s="129"/>
      <c r="S84" s="129"/>
      <c r="T84" s="129"/>
      <c r="U84" s="129"/>
      <c r="V84" s="170"/>
      <c r="W84" s="129">
        <v>360</v>
      </c>
      <c r="X84" s="129"/>
      <c r="Y84" s="129"/>
      <c r="Z84" s="168"/>
      <c r="AA84" s="129"/>
      <c r="AB84" s="129"/>
      <c r="AC84" s="129"/>
      <c r="AD84" s="129"/>
      <c r="AE84" s="129"/>
      <c r="AF84" s="129"/>
    </row>
    <row r="85" spans="1:32" ht="31.5" outlineLevel="1" x14ac:dyDescent="0.2">
      <c r="A85" s="3">
        <v>19</v>
      </c>
      <c r="B85" s="81" t="s">
        <v>301</v>
      </c>
      <c r="C85" s="22" t="s">
        <v>285</v>
      </c>
      <c r="D85" s="188" t="s">
        <v>12</v>
      </c>
      <c r="E85" s="128">
        <v>220</v>
      </c>
      <c r="F85" s="24" t="s">
        <v>451</v>
      </c>
      <c r="G85" s="146"/>
      <c r="H85" s="154">
        <v>1900</v>
      </c>
      <c r="I85" s="154"/>
      <c r="J85" s="154">
        <v>100</v>
      </c>
      <c r="K85" s="154">
        <v>600</v>
      </c>
      <c r="L85" s="154">
        <f>3000+200</f>
        <v>3200</v>
      </c>
      <c r="M85" s="154">
        <v>1400</v>
      </c>
      <c r="N85" s="154">
        <v>2000</v>
      </c>
      <c r="O85" s="153"/>
      <c r="P85" s="153">
        <v>1400</v>
      </c>
      <c r="R85" s="129"/>
      <c r="S85" s="129"/>
      <c r="T85" s="129"/>
      <c r="U85" s="129"/>
      <c r="V85" s="170"/>
      <c r="W85" s="129" t="s">
        <v>536</v>
      </c>
      <c r="X85" s="129"/>
      <c r="Y85" s="129"/>
      <c r="Z85" s="168"/>
      <c r="AA85" s="129"/>
      <c r="AB85" s="129"/>
      <c r="AC85" s="129"/>
      <c r="AD85" s="129">
        <v>200</v>
      </c>
      <c r="AE85" s="129"/>
      <c r="AF85" s="129"/>
    </row>
    <row r="86" spans="1:32" outlineLevel="1" x14ac:dyDescent="0.2">
      <c r="A86" s="3">
        <v>20</v>
      </c>
      <c r="B86" s="79" t="s">
        <v>207</v>
      </c>
      <c r="C86" s="125"/>
      <c r="D86" s="188" t="s">
        <v>565</v>
      </c>
      <c r="E86" s="128">
        <v>200</v>
      </c>
      <c r="F86" s="24" t="s">
        <v>451</v>
      </c>
      <c r="G86" s="146"/>
      <c r="H86" s="154"/>
      <c r="I86" s="154">
        <v>200</v>
      </c>
      <c r="J86" s="154">
        <v>200</v>
      </c>
      <c r="K86" s="154"/>
      <c r="L86" s="154"/>
      <c r="M86" s="154"/>
      <c r="N86" s="154"/>
      <c r="O86" s="153">
        <v>100</v>
      </c>
      <c r="P86" s="153"/>
      <c r="R86" s="129"/>
      <c r="S86" s="129"/>
      <c r="T86" s="129"/>
      <c r="U86" s="129"/>
      <c r="V86" s="170"/>
      <c r="W86" s="129"/>
      <c r="X86" s="129"/>
      <c r="Y86" s="129"/>
      <c r="Z86" s="168"/>
      <c r="AA86" s="129"/>
      <c r="AB86" s="129"/>
      <c r="AC86" s="129"/>
      <c r="AD86" s="129"/>
      <c r="AE86" s="129"/>
      <c r="AF86" s="129"/>
    </row>
    <row r="87" spans="1:32" outlineLevel="1" x14ac:dyDescent="0.2">
      <c r="A87" s="3">
        <f t="shared" ref="A87:A102" si="0">A86+1</f>
        <v>21</v>
      </c>
      <c r="B87" s="79" t="s">
        <v>209</v>
      </c>
      <c r="D87" s="3" t="s">
        <v>550</v>
      </c>
      <c r="E87" s="17">
        <v>180</v>
      </c>
      <c r="F87" s="24" t="s">
        <v>451</v>
      </c>
      <c r="G87" s="146"/>
      <c r="H87" s="154">
        <v>22500</v>
      </c>
      <c r="I87" s="154">
        <v>45000</v>
      </c>
      <c r="J87" s="154">
        <v>3600</v>
      </c>
      <c r="K87" s="154">
        <v>6300</v>
      </c>
      <c r="L87" s="154">
        <v>13050</v>
      </c>
      <c r="M87" s="154">
        <v>9000</v>
      </c>
      <c r="N87" s="154">
        <v>9900</v>
      </c>
      <c r="O87" s="153">
        <f>810+9000</f>
        <v>9810</v>
      </c>
      <c r="P87" s="153">
        <v>6750</v>
      </c>
      <c r="R87" s="129"/>
      <c r="S87" s="129"/>
      <c r="T87" s="129"/>
      <c r="U87" s="129"/>
      <c r="V87" s="170"/>
      <c r="W87" s="129"/>
      <c r="X87" s="129"/>
      <c r="Y87" s="129"/>
      <c r="Z87" s="168"/>
      <c r="AA87" s="129"/>
      <c r="AB87" s="129"/>
      <c r="AC87" s="129"/>
      <c r="AD87" s="129"/>
      <c r="AE87" s="129"/>
      <c r="AF87" s="129"/>
    </row>
    <row r="88" spans="1:32" outlineLevel="1" x14ac:dyDescent="0.2">
      <c r="A88" s="3">
        <f t="shared" si="0"/>
        <v>22</v>
      </c>
      <c r="B88" s="79" t="s">
        <v>209</v>
      </c>
      <c r="C88" s="2" t="s">
        <v>287</v>
      </c>
      <c r="D88" s="188" t="s">
        <v>12</v>
      </c>
      <c r="E88" s="128">
        <v>220</v>
      </c>
      <c r="F88" s="4" t="s">
        <v>452</v>
      </c>
      <c r="G88" s="146"/>
      <c r="H88" s="154">
        <v>7150</v>
      </c>
      <c r="I88" s="154">
        <v>7700</v>
      </c>
      <c r="J88" s="154"/>
      <c r="K88" s="154">
        <v>6050</v>
      </c>
      <c r="L88" s="154">
        <v>7700</v>
      </c>
      <c r="M88" s="154">
        <v>4400</v>
      </c>
      <c r="N88" s="154">
        <v>12650</v>
      </c>
      <c r="O88" s="153">
        <v>9350</v>
      </c>
      <c r="P88" s="153">
        <v>4950</v>
      </c>
      <c r="R88" s="129"/>
      <c r="S88" s="129"/>
      <c r="T88" s="129"/>
      <c r="U88" s="129"/>
      <c r="V88" s="170"/>
      <c r="W88" s="129"/>
      <c r="X88" s="129"/>
      <c r="Y88" s="129"/>
      <c r="Z88" s="168"/>
      <c r="AA88" s="129"/>
      <c r="AB88" s="129"/>
      <c r="AC88" s="129"/>
      <c r="AD88" s="129"/>
      <c r="AE88" s="129"/>
      <c r="AF88" s="129"/>
    </row>
    <row r="89" spans="1:32" outlineLevel="1" x14ac:dyDescent="0.2">
      <c r="A89" s="3">
        <f t="shared" si="0"/>
        <v>23</v>
      </c>
      <c r="B89" s="79" t="s">
        <v>186</v>
      </c>
      <c r="C89" s="125"/>
      <c r="D89" s="188" t="s">
        <v>565</v>
      </c>
      <c r="E89" s="128">
        <v>200</v>
      </c>
      <c r="F89" s="4" t="s">
        <v>452</v>
      </c>
      <c r="G89" s="146"/>
      <c r="H89" s="154">
        <v>6300</v>
      </c>
      <c r="I89" s="154">
        <v>29040</v>
      </c>
      <c r="J89" s="154">
        <v>2640</v>
      </c>
      <c r="K89" s="154">
        <v>31500</v>
      </c>
      <c r="L89" s="154">
        <v>21900</v>
      </c>
      <c r="M89" s="154">
        <v>31200</v>
      </c>
      <c r="N89" s="154">
        <v>12900</v>
      </c>
      <c r="O89" s="153">
        <v>14100</v>
      </c>
      <c r="P89" s="153">
        <v>27000</v>
      </c>
      <c r="R89" s="129"/>
      <c r="S89" s="129"/>
      <c r="T89" s="129"/>
      <c r="U89" s="129"/>
      <c r="V89" s="170"/>
      <c r="W89" s="129"/>
      <c r="X89" s="129"/>
      <c r="Y89" s="129"/>
      <c r="Z89" s="168"/>
      <c r="AA89" s="129"/>
      <c r="AB89" s="129"/>
      <c r="AC89" s="129"/>
      <c r="AD89" s="129"/>
      <c r="AE89" s="129"/>
      <c r="AF89" s="129"/>
    </row>
    <row r="90" spans="1:32" ht="17.25" customHeight="1" outlineLevel="1" x14ac:dyDescent="0.2">
      <c r="A90" s="3">
        <f t="shared" si="0"/>
        <v>24</v>
      </c>
      <c r="B90" s="306" t="s">
        <v>212</v>
      </c>
      <c r="D90" s="3" t="s">
        <v>550</v>
      </c>
      <c r="E90" s="17">
        <v>180</v>
      </c>
      <c r="F90" s="4" t="s">
        <v>452</v>
      </c>
      <c r="G90" s="146"/>
      <c r="H90" s="154">
        <v>18000</v>
      </c>
      <c r="I90" s="154">
        <v>24600</v>
      </c>
      <c r="J90" s="154">
        <v>13800</v>
      </c>
      <c r="K90" s="154">
        <v>25200</v>
      </c>
      <c r="L90" s="154">
        <f>18000+1080</f>
        <v>19080</v>
      </c>
      <c r="M90" s="154">
        <f>23940+1080</f>
        <v>25020</v>
      </c>
      <c r="N90" s="154">
        <f>18000+2160</f>
        <v>20160</v>
      </c>
      <c r="O90" s="153">
        <v>14400</v>
      </c>
      <c r="P90" s="161">
        <v>9000</v>
      </c>
      <c r="R90" s="129">
        <v>550</v>
      </c>
      <c r="S90" s="129"/>
      <c r="T90" s="129"/>
      <c r="U90" s="129"/>
      <c r="V90" s="170"/>
      <c r="W90" s="129"/>
      <c r="X90" s="129"/>
      <c r="Y90" s="129"/>
      <c r="Z90" s="168"/>
      <c r="AA90" s="129"/>
      <c r="AB90" s="129"/>
      <c r="AC90" s="129"/>
      <c r="AD90" s="129"/>
      <c r="AE90" s="129"/>
      <c r="AF90" s="129"/>
    </row>
    <row r="91" spans="1:32" ht="31.5" outlineLevel="1" x14ac:dyDescent="0.2">
      <c r="A91" s="3">
        <f t="shared" si="0"/>
        <v>25</v>
      </c>
      <c r="B91" s="308"/>
      <c r="C91" s="2" t="s">
        <v>552</v>
      </c>
      <c r="D91" s="188" t="s">
        <v>12</v>
      </c>
      <c r="E91" s="128">
        <v>220</v>
      </c>
      <c r="F91" s="4" t="s">
        <v>290</v>
      </c>
      <c r="G91" s="146"/>
      <c r="H91" s="154">
        <v>38240</v>
      </c>
      <c r="I91" s="154">
        <v>33920</v>
      </c>
      <c r="J91" s="154">
        <v>16000</v>
      </c>
      <c r="K91" s="154">
        <v>42400</v>
      </c>
      <c r="L91" s="154">
        <v>35200</v>
      </c>
      <c r="M91" s="154">
        <v>28000</v>
      </c>
      <c r="N91" s="154">
        <v>28800</v>
      </c>
      <c r="O91" s="153">
        <v>12000</v>
      </c>
      <c r="P91" s="161">
        <v>7200</v>
      </c>
      <c r="R91" s="129">
        <v>900</v>
      </c>
      <c r="S91" s="129"/>
      <c r="T91" s="129"/>
      <c r="U91" s="129"/>
      <c r="V91" s="170"/>
      <c r="W91" s="129"/>
      <c r="X91" s="129"/>
      <c r="Y91" s="129"/>
      <c r="Z91" s="168"/>
      <c r="AA91" s="129"/>
      <c r="AB91" s="129"/>
      <c r="AC91" s="129"/>
      <c r="AD91" s="129"/>
      <c r="AE91" s="129">
        <v>700</v>
      </c>
      <c r="AF91" s="129"/>
    </row>
    <row r="92" spans="1:32" outlineLevel="1" x14ac:dyDescent="0.2">
      <c r="A92" s="21">
        <f t="shared" si="0"/>
        <v>26</v>
      </c>
      <c r="B92" s="79" t="s">
        <v>214</v>
      </c>
      <c r="D92" s="188" t="s">
        <v>565</v>
      </c>
      <c r="E92" s="128">
        <v>200</v>
      </c>
      <c r="F92" s="4" t="s">
        <v>290</v>
      </c>
      <c r="G92" s="146"/>
      <c r="H92" s="154">
        <v>3600</v>
      </c>
      <c r="I92" s="154">
        <v>600</v>
      </c>
      <c r="J92" s="154">
        <v>16200</v>
      </c>
      <c r="K92" s="154">
        <v>700</v>
      </c>
      <c r="L92" s="154">
        <v>9100</v>
      </c>
      <c r="M92" s="154">
        <v>3500</v>
      </c>
      <c r="N92" s="154"/>
      <c r="O92" s="153">
        <v>700</v>
      </c>
      <c r="P92" s="153"/>
      <c r="R92" s="129">
        <v>300</v>
      </c>
      <c r="S92" s="129"/>
      <c r="T92" s="129"/>
      <c r="U92" s="129"/>
      <c r="V92" s="170"/>
      <c r="W92" s="129"/>
      <c r="X92" s="129"/>
      <c r="Y92" s="129"/>
      <c r="Z92" s="168"/>
      <c r="AA92" s="129"/>
      <c r="AB92" s="129"/>
      <c r="AC92" s="129"/>
      <c r="AD92" s="129"/>
      <c r="AE92" s="129"/>
      <c r="AF92" s="129"/>
    </row>
    <row r="93" spans="1:32" outlineLevel="1" x14ac:dyDescent="0.2">
      <c r="A93" s="21">
        <f t="shared" si="0"/>
        <v>27</v>
      </c>
      <c r="B93" s="79" t="s">
        <v>214</v>
      </c>
      <c r="D93" s="3" t="s">
        <v>550</v>
      </c>
      <c r="E93" s="17">
        <v>180</v>
      </c>
      <c r="F93" s="4" t="s">
        <v>290</v>
      </c>
      <c r="G93" s="146"/>
      <c r="H93" s="154">
        <v>11400</v>
      </c>
      <c r="I93" s="154">
        <v>24700</v>
      </c>
      <c r="J93" s="154">
        <v>14250</v>
      </c>
      <c r="K93" s="154"/>
      <c r="L93" s="154">
        <v>9500</v>
      </c>
      <c r="M93" s="154">
        <f>23655+7695</f>
        <v>31350</v>
      </c>
      <c r="N93" s="154">
        <v>23750</v>
      </c>
      <c r="O93" s="153">
        <v>30400</v>
      </c>
      <c r="P93" s="161">
        <v>19000</v>
      </c>
      <c r="R93" s="129">
        <v>650</v>
      </c>
      <c r="S93" s="129"/>
      <c r="T93" s="129"/>
      <c r="U93" s="129"/>
      <c r="V93" s="170"/>
      <c r="W93" s="129"/>
      <c r="X93" s="129"/>
      <c r="Y93" s="129"/>
      <c r="Z93" s="168"/>
      <c r="AA93" s="129"/>
      <c r="AB93" s="129"/>
      <c r="AC93" s="129"/>
      <c r="AD93" s="129"/>
      <c r="AE93" s="129"/>
      <c r="AF93" s="129"/>
    </row>
    <row r="94" spans="1:32" s="125" customFormat="1" outlineLevel="1" x14ac:dyDescent="0.2">
      <c r="A94" s="205"/>
      <c r="B94" s="204"/>
      <c r="C94" s="210" t="s">
        <v>586</v>
      </c>
      <c r="D94" s="211" t="s">
        <v>12</v>
      </c>
      <c r="E94" s="212">
        <v>350</v>
      </c>
      <c r="F94" s="213" t="s">
        <v>586</v>
      </c>
      <c r="G94" s="146"/>
      <c r="H94" s="154"/>
      <c r="I94" s="154"/>
      <c r="J94" s="154"/>
      <c r="K94" s="154"/>
      <c r="L94" s="154"/>
      <c r="M94" s="154"/>
      <c r="N94" s="154"/>
      <c r="O94" s="153"/>
      <c r="P94" s="161"/>
      <c r="R94" s="129"/>
      <c r="S94" s="129"/>
      <c r="T94" s="129"/>
      <c r="U94" s="129"/>
      <c r="V94" s="170"/>
      <c r="W94" s="129"/>
      <c r="X94" s="129"/>
      <c r="Y94" s="129"/>
      <c r="Z94" s="168"/>
      <c r="AA94" s="129"/>
      <c r="AB94" s="129"/>
      <c r="AC94" s="129"/>
      <c r="AD94" s="129"/>
      <c r="AE94" s="129"/>
      <c r="AF94" s="129"/>
    </row>
    <row r="95" spans="1:32" s="125" customFormat="1" outlineLevel="1" x14ac:dyDescent="0.2">
      <c r="A95" s="205"/>
      <c r="B95" s="204"/>
      <c r="C95" s="210" t="s">
        <v>567</v>
      </c>
      <c r="D95" s="211" t="s">
        <v>565</v>
      </c>
      <c r="E95" s="212">
        <v>320</v>
      </c>
      <c r="F95" s="213" t="s">
        <v>586</v>
      </c>
      <c r="G95" s="146"/>
      <c r="H95" s="154"/>
      <c r="I95" s="154"/>
      <c r="J95" s="154"/>
      <c r="K95" s="154"/>
      <c r="L95" s="154"/>
      <c r="M95" s="154"/>
      <c r="N95" s="154"/>
      <c r="O95" s="153"/>
      <c r="P95" s="161"/>
      <c r="R95" s="129"/>
      <c r="S95" s="129"/>
      <c r="T95" s="129"/>
      <c r="U95" s="129"/>
      <c r="V95" s="170"/>
      <c r="W95" s="129"/>
      <c r="X95" s="129"/>
      <c r="Y95" s="129"/>
      <c r="Z95" s="168"/>
      <c r="AA95" s="129"/>
      <c r="AB95" s="129"/>
      <c r="AC95" s="129"/>
      <c r="AD95" s="129"/>
      <c r="AE95" s="129"/>
      <c r="AF95" s="129"/>
    </row>
    <row r="96" spans="1:32" s="125" customFormat="1" outlineLevel="1" x14ac:dyDescent="0.2">
      <c r="A96" s="205"/>
      <c r="B96" s="204"/>
      <c r="C96" s="210"/>
      <c r="D96" s="211" t="s">
        <v>550</v>
      </c>
      <c r="E96" s="212">
        <v>300</v>
      </c>
      <c r="F96" s="213" t="s">
        <v>586</v>
      </c>
      <c r="G96" s="146"/>
      <c r="H96" s="154"/>
      <c r="I96" s="154"/>
      <c r="J96" s="154"/>
      <c r="K96" s="154"/>
      <c r="L96" s="154"/>
      <c r="M96" s="154"/>
      <c r="N96" s="154"/>
      <c r="O96" s="153"/>
      <c r="P96" s="161"/>
      <c r="R96" s="129"/>
      <c r="S96" s="129"/>
      <c r="T96" s="129"/>
      <c r="U96" s="129"/>
      <c r="V96" s="170"/>
      <c r="W96" s="129"/>
      <c r="X96" s="129"/>
      <c r="Y96" s="129"/>
      <c r="Z96" s="168"/>
      <c r="AA96" s="129"/>
      <c r="AB96" s="129"/>
      <c r="AC96" s="129"/>
      <c r="AD96" s="129"/>
      <c r="AE96" s="129"/>
      <c r="AF96" s="129"/>
    </row>
    <row r="97" spans="1:32" ht="31.5" outlineLevel="1" x14ac:dyDescent="0.2">
      <c r="A97" s="3">
        <f>A93+1</f>
        <v>28</v>
      </c>
      <c r="B97" s="82" t="s">
        <v>323</v>
      </c>
      <c r="C97" s="210" t="s">
        <v>588</v>
      </c>
      <c r="D97" s="211" t="s">
        <v>12</v>
      </c>
      <c r="E97" s="212">
        <v>350</v>
      </c>
      <c r="F97" s="213" t="s">
        <v>587</v>
      </c>
      <c r="G97" s="146"/>
      <c r="H97" s="154">
        <v>3500</v>
      </c>
      <c r="I97" s="154">
        <v>10000</v>
      </c>
      <c r="J97" s="154">
        <f>2500+2500</f>
        <v>5000</v>
      </c>
      <c r="K97" s="154">
        <f>-1650+3000</f>
        <v>1350</v>
      </c>
      <c r="L97" s="154">
        <f>3500+1000</f>
        <v>4500</v>
      </c>
      <c r="M97" s="154">
        <v>5000</v>
      </c>
      <c r="N97" s="154"/>
      <c r="O97" s="153">
        <f>500+500</f>
        <v>1000</v>
      </c>
      <c r="P97" s="161">
        <f>2500+8000</f>
        <v>10500</v>
      </c>
      <c r="R97" s="129">
        <v>200</v>
      </c>
      <c r="S97" s="129"/>
      <c r="T97" s="129"/>
      <c r="U97" s="129"/>
      <c r="V97" s="170"/>
      <c r="W97" s="129"/>
      <c r="X97" s="129"/>
      <c r="Y97" s="129"/>
      <c r="Z97" s="168"/>
      <c r="AA97" s="129"/>
      <c r="AB97" s="129"/>
      <c r="AC97" s="129"/>
      <c r="AD97" s="129"/>
      <c r="AE97" s="129"/>
      <c r="AF97" s="129"/>
    </row>
    <row r="98" spans="1:32" outlineLevel="1" x14ac:dyDescent="0.2">
      <c r="A98" s="3">
        <f t="shared" si="0"/>
        <v>29</v>
      </c>
      <c r="B98" s="79" t="s">
        <v>325</v>
      </c>
      <c r="C98" s="210"/>
      <c r="D98" s="211" t="s">
        <v>565</v>
      </c>
      <c r="E98" s="212">
        <v>320</v>
      </c>
      <c r="F98" s="213" t="s">
        <v>587</v>
      </c>
      <c r="G98" s="146"/>
      <c r="H98" s="154"/>
      <c r="I98" s="154"/>
      <c r="J98" s="154"/>
      <c r="K98" s="154"/>
      <c r="L98" s="154"/>
      <c r="M98" s="154"/>
      <c r="N98" s="154"/>
      <c r="O98" s="153"/>
      <c r="P98" s="153"/>
      <c r="R98" s="129">
        <v>350</v>
      </c>
      <c r="S98" s="129"/>
      <c r="T98" s="129"/>
      <c r="U98" s="129"/>
      <c r="V98" s="170"/>
      <c r="W98" s="129"/>
      <c r="X98" s="129"/>
      <c r="Y98" s="129"/>
      <c r="Z98" s="168"/>
      <c r="AA98" s="129"/>
      <c r="AB98" s="129"/>
      <c r="AC98" s="129"/>
      <c r="AD98" s="129"/>
      <c r="AE98" s="129"/>
      <c r="AF98" s="129"/>
    </row>
    <row r="99" spans="1:32" outlineLevel="1" x14ac:dyDescent="0.2">
      <c r="A99" s="3">
        <f t="shared" si="0"/>
        <v>30</v>
      </c>
      <c r="B99" s="79" t="s">
        <v>419</v>
      </c>
      <c r="C99" s="210"/>
      <c r="D99" s="211" t="s">
        <v>550</v>
      </c>
      <c r="E99" s="212">
        <v>300</v>
      </c>
      <c r="F99" s="213" t="s">
        <v>587</v>
      </c>
      <c r="G99" s="146"/>
      <c r="H99" s="154">
        <v>179280</v>
      </c>
      <c r="I99" s="154">
        <v>158400</v>
      </c>
      <c r="J99" s="154">
        <f>126000+7680</f>
        <v>133680</v>
      </c>
      <c r="K99" s="154">
        <f>118800+1080</f>
        <v>119880</v>
      </c>
      <c r="L99" s="154">
        <v>126000</v>
      </c>
      <c r="M99" s="154">
        <f>110400+2160</f>
        <v>112560</v>
      </c>
      <c r="N99" s="154">
        <f>140400+2160+1080</f>
        <v>143640</v>
      </c>
      <c r="O99" s="153">
        <v>117600</v>
      </c>
      <c r="P99" s="161">
        <v>68400</v>
      </c>
      <c r="R99" s="129"/>
      <c r="S99" s="129"/>
      <c r="T99" s="129"/>
      <c r="U99" s="129"/>
      <c r="V99" s="170"/>
      <c r="W99" s="129"/>
      <c r="X99" s="129"/>
      <c r="Y99" s="129"/>
      <c r="Z99" s="168"/>
      <c r="AA99" s="129"/>
      <c r="AB99" s="129"/>
      <c r="AC99" s="129"/>
      <c r="AD99" s="129"/>
      <c r="AE99" s="129">
        <v>1200</v>
      </c>
      <c r="AF99" s="129">
        <v>1320</v>
      </c>
    </row>
    <row r="100" spans="1:32" ht="15.75" customHeight="1" outlineLevel="1" x14ac:dyDescent="0.2">
      <c r="A100" s="3"/>
      <c r="B100" s="172" t="s">
        <v>442</v>
      </c>
      <c r="C100" s="210" t="s">
        <v>589</v>
      </c>
      <c r="D100" s="211" t="s">
        <v>12</v>
      </c>
      <c r="E100" s="212">
        <v>350</v>
      </c>
      <c r="F100" s="213" t="s">
        <v>590</v>
      </c>
      <c r="G100" s="146"/>
      <c r="H100" s="154"/>
      <c r="I100" s="154"/>
      <c r="J100" s="154"/>
      <c r="K100" s="154"/>
      <c r="L100" s="154"/>
      <c r="M100" s="154"/>
      <c r="N100" s="154"/>
      <c r="O100" s="153"/>
      <c r="P100" s="153"/>
      <c r="R100" s="129"/>
      <c r="S100" s="129"/>
      <c r="T100" s="129"/>
      <c r="U100" s="129"/>
      <c r="V100" s="170"/>
      <c r="W100" s="129"/>
      <c r="X100" s="129"/>
      <c r="Y100" s="129"/>
      <c r="Z100" s="168"/>
      <c r="AA100" s="129"/>
      <c r="AB100" s="129"/>
      <c r="AC100" s="129"/>
      <c r="AD100" s="129"/>
      <c r="AE100" s="129"/>
      <c r="AF100" s="129"/>
    </row>
    <row r="101" spans="1:32" outlineLevel="1" x14ac:dyDescent="0.2">
      <c r="A101" s="3">
        <v>30</v>
      </c>
      <c r="B101" s="79" t="s">
        <v>439</v>
      </c>
      <c r="C101" s="210"/>
      <c r="D101" s="211" t="s">
        <v>565</v>
      </c>
      <c r="E101" s="212">
        <v>320</v>
      </c>
      <c r="F101" s="213" t="s">
        <v>590</v>
      </c>
      <c r="G101" s="146"/>
      <c r="H101" s="154"/>
      <c r="I101" s="154"/>
      <c r="J101" s="154"/>
      <c r="K101" s="154"/>
      <c r="L101" s="154"/>
      <c r="M101" s="154"/>
      <c r="N101" s="154"/>
      <c r="O101" s="153"/>
      <c r="P101" s="153"/>
      <c r="R101" s="129"/>
      <c r="S101" s="129"/>
      <c r="T101" s="129"/>
      <c r="U101" s="129"/>
      <c r="V101" s="170"/>
      <c r="W101" s="129"/>
      <c r="X101" s="129"/>
      <c r="Y101" s="129"/>
      <c r="Z101" s="168"/>
      <c r="AA101" s="129"/>
      <c r="AB101" s="129"/>
      <c r="AC101" s="129"/>
      <c r="AD101" s="129">
        <v>800</v>
      </c>
      <c r="AE101" s="129">
        <v>1000</v>
      </c>
      <c r="AF101" s="129">
        <v>650</v>
      </c>
    </row>
    <row r="102" spans="1:32" outlineLevel="1" x14ac:dyDescent="0.2">
      <c r="A102" s="3">
        <f t="shared" si="0"/>
        <v>31</v>
      </c>
      <c r="B102" s="79" t="s">
        <v>439</v>
      </c>
      <c r="C102" s="210"/>
      <c r="D102" s="211" t="s">
        <v>550</v>
      </c>
      <c r="E102" s="212">
        <v>300</v>
      </c>
      <c r="F102" s="213" t="s">
        <v>590</v>
      </c>
      <c r="G102" s="146"/>
      <c r="H102" s="154">
        <v>19800</v>
      </c>
      <c r="I102" s="154">
        <v>27800</v>
      </c>
      <c r="J102" s="154">
        <v>11400</v>
      </c>
      <c r="K102" s="154">
        <f>6600+2000</f>
        <v>8600</v>
      </c>
      <c r="L102" s="154">
        <v>39600</v>
      </c>
      <c r="M102" s="154">
        <v>26500</v>
      </c>
      <c r="N102" s="154">
        <v>15600</v>
      </c>
      <c r="O102" s="153">
        <f>1350+15600</f>
        <v>16950</v>
      </c>
      <c r="P102" s="153">
        <v>7200</v>
      </c>
      <c r="R102" s="129"/>
      <c r="S102" s="129"/>
      <c r="T102" s="129"/>
      <c r="U102" s="129"/>
      <c r="V102" s="170"/>
      <c r="W102" s="129"/>
      <c r="X102" s="129"/>
      <c r="Y102" s="129"/>
      <c r="Z102" s="168"/>
      <c r="AA102" s="129"/>
      <c r="AB102" s="129"/>
      <c r="AC102" s="129"/>
      <c r="AD102" s="129">
        <v>600</v>
      </c>
      <c r="AE102" s="129"/>
      <c r="AF102" s="129"/>
    </row>
    <row r="103" spans="1:32" ht="31.5" outlineLevel="1" x14ac:dyDescent="0.2">
      <c r="A103" s="3"/>
      <c r="B103" s="79"/>
      <c r="C103" s="2" t="s">
        <v>292</v>
      </c>
      <c r="D103" s="188" t="s">
        <v>12</v>
      </c>
      <c r="E103" s="128">
        <v>280</v>
      </c>
      <c r="F103" s="4" t="s">
        <v>293</v>
      </c>
      <c r="G103" s="146"/>
      <c r="H103" s="154"/>
      <c r="I103" s="154"/>
      <c r="J103" s="154"/>
      <c r="K103" s="154"/>
      <c r="L103" s="154"/>
      <c r="M103" s="154"/>
      <c r="N103" s="154"/>
      <c r="O103" s="153"/>
      <c r="P103" s="153"/>
      <c r="R103" s="129"/>
      <c r="S103" s="129"/>
      <c r="T103" s="129"/>
      <c r="U103" s="129"/>
      <c r="V103" s="170"/>
      <c r="W103" s="129"/>
      <c r="X103" s="129"/>
      <c r="Y103" s="129"/>
      <c r="Z103" s="168"/>
      <c r="AA103" s="129"/>
      <c r="AB103" s="129"/>
      <c r="AC103" s="129"/>
      <c r="AD103" s="129"/>
      <c r="AE103" s="129"/>
      <c r="AF103" s="129"/>
    </row>
    <row r="104" spans="1:32" outlineLevel="1" x14ac:dyDescent="0.2">
      <c r="A104" s="3">
        <f>A102+1</f>
        <v>32</v>
      </c>
      <c r="B104" s="79" t="s">
        <v>439</v>
      </c>
      <c r="D104" s="188" t="s">
        <v>565</v>
      </c>
      <c r="E104" s="128">
        <v>250</v>
      </c>
      <c r="F104" s="4" t="s">
        <v>293</v>
      </c>
      <c r="G104" s="146"/>
      <c r="H104" s="154">
        <v>4200</v>
      </c>
      <c r="I104" s="154"/>
      <c r="J104" s="154"/>
      <c r="K104" s="154"/>
      <c r="L104" s="154">
        <v>5000</v>
      </c>
      <c r="M104" s="154"/>
      <c r="N104" s="154"/>
      <c r="O104" s="153"/>
      <c r="P104" s="153">
        <v>3000</v>
      </c>
      <c r="R104" s="129"/>
      <c r="S104" s="129"/>
      <c r="T104" s="129"/>
      <c r="U104" s="129"/>
      <c r="V104" s="170"/>
      <c r="W104" s="129"/>
      <c r="X104" s="129"/>
      <c r="Y104" s="129"/>
      <c r="Z104" s="168"/>
      <c r="AA104" s="129"/>
      <c r="AB104" s="129"/>
      <c r="AC104" s="129"/>
      <c r="AD104" s="129"/>
      <c r="AE104" s="129"/>
      <c r="AF104" s="129"/>
    </row>
    <row r="105" spans="1:32" s="102" customFormat="1" outlineLevel="1" x14ac:dyDescent="0.2">
      <c r="A105" s="3">
        <f>A104+1</f>
        <v>33</v>
      </c>
      <c r="B105" s="79" t="s">
        <v>439</v>
      </c>
      <c r="C105" s="1"/>
      <c r="D105" s="3" t="s">
        <v>550</v>
      </c>
      <c r="E105" s="17">
        <v>230</v>
      </c>
      <c r="F105" s="4" t="s">
        <v>293</v>
      </c>
      <c r="G105" s="146"/>
      <c r="H105" s="154">
        <v>98500</v>
      </c>
      <c r="I105" s="154">
        <v>78000</v>
      </c>
      <c r="J105" s="154">
        <v>86000</v>
      </c>
      <c r="K105" s="154">
        <v>69000</v>
      </c>
      <c r="L105" s="154">
        <v>80000</v>
      </c>
      <c r="M105" s="154">
        <v>63000</v>
      </c>
      <c r="N105" s="154">
        <v>54000</v>
      </c>
      <c r="O105" s="153">
        <v>41500</v>
      </c>
      <c r="P105" s="153">
        <f>2250+69500</f>
        <v>71750</v>
      </c>
      <c r="Q105" s="125"/>
      <c r="R105" s="129"/>
      <c r="S105" s="129"/>
      <c r="T105" s="129"/>
      <c r="U105" s="129"/>
      <c r="V105" s="170"/>
      <c r="W105" s="129"/>
      <c r="X105" s="129"/>
      <c r="Y105" s="129"/>
      <c r="Z105" s="168"/>
      <c r="AA105" s="129"/>
      <c r="AB105" s="129"/>
      <c r="AC105" s="129"/>
      <c r="AD105" s="129"/>
      <c r="AE105" s="129"/>
      <c r="AF105" s="129"/>
    </row>
    <row r="106" spans="1:32" s="102" customFormat="1" ht="47.25" customHeight="1" outlineLevel="1" x14ac:dyDescent="0.2">
      <c r="A106" s="106">
        <v>34</v>
      </c>
      <c r="B106" s="107" t="s">
        <v>506</v>
      </c>
      <c r="C106" s="2" t="s">
        <v>295</v>
      </c>
      <c r="D106" s="3" t="s">
        <v>12</v>
      </c>
      <c r="E106" s="17">
        <v>350</v>
      </c>
      <c r="F106" s="4" t="s">
        <v>554</v>
      </c>
      <c r="G106" s="146"/>
      <c r="H106" s="154"/>
      <c r="I106" s="154"/>
      <c r="J106" s="154"/>
      <c r="K106" s="154"/>
      <c r="L106" s="154">
        <v>6300</v>
      </c>
      <c r="M106" s="154">
        <v>4200</v>
      </c>
      <c r="N106" s="154"/>
      <c r="O106" s="153"/>
      <c r="P106" s="161">
        <v>6300</v>
      </c>
      <c r="Q106" s="125"/>
      <c r="R106" s="129"/>
      <c r="S106" s="129"/>
      <c r="T106" s="129"/>
      <c r="U106" s="129"/>
      <c r="V106" s="170"/>
      <c r="W106" s="129"/>
      <c r="X106" s="129"/>
      <c r="Y106" s="129"/>
      <c r="Z106" s="168"/>
      <c r="AA106" s="129"/>
      <c r="AB106" s="129"/>
      <c r="AC106" s="129"/>
      <c r="AD106" s="129">
        <v>750</v>
      </c>
      <c r="AE106" s="129">
        <v>600</v>
      </c>
      <c r="AF106" s="129"/>
    </row>
    <row r="107" spans="1:32" s="102" customFormat="1" outlineLevel="1" x14ac:dyDescent="0.2">
      <c r="A107" s="106">
        <v>35</v>
      </c>
      <c r="B107" s="107" t="s">
        <v>506</v>
      </c>
      <c r="C107" s="126"/>
      <c r="D107" s="188" t="s">
        <v>565</v>
      </c>
      <c r="E107" s="128">
        <v>300</v>
      </c>
      <c r="F107" s="4" t="s">
        <v>554</v>
      </c>
      <c r="G107" s="146"/>
      <c r="H107" s="154"/>
      <c r="I107" s="154"/>
      <c r="J107" s="154"/>
      <c r="K107" s="154"/>
      <c r="L107" s="154"/>
      <c r="M107" s="154">
        <v>700</v>
      </c>
      <c r="N107" s="154"/>
      <c r="O107" s="153">
        <v>700</v>
      </c>
      <c r="P107" s="161">
        <v>4200</v>
      </c>
      <c r="Q107" s="125"/>
      <c r="R107" s="129"/>
      <c r="S107" s="129"/>
      <c r="T107" s="129"/>
      <c r="U107" s="129"/>
      <c r="V107" s="170"/>
      <c r="W107" s="129"/>
      <c r="X107" s="129"/>
      <c r="Y107" s="129"/>
      <c r="Z107" s="168"/>
      <c r="AA107" s="129"/>
      <c r="AB107" s="129"/>
      <c r="AC107" s="129"/>
      <c r="AD107" s="129">
        <v>750</v>
      </c>
      <c r="AE107" s="129">
        <v>600</v>
      </c>
      <c r="AF107" s="129"/>
    </row>
    <row r="108" spans="1:32" s="102" customFormat="1" outlineLevel="1" x14ac:dyDescent="0.2">
      <c r="A108" s="106">
        <v>36</v>
      </c>
      <c r="B108" s="107" t="s">
        <v>506</v>
      </c>
      <c r="C108" s="126"/>
      <c r="D108" s="188" t="s">
        <v>550</v>
      </c>
      <c r="E108" s="128">
        <v>250</v>
      </c>
      <c r="F108" s="4" t="s">
        <v>554</v>
      </c>
      <c r="G108" s="146"/>
      <c r="H108" s="154"/>
      <c r="I108" s="154"/>
      <c r="J108" s="154"/>
      <c r="K108" s="154"/>
      <c r="L108" s="154"/>
      <c r="M108" s="154"/>
      <c r="N108" s="154"/>
      <c r="O108" s="153"/>
      <c r="P108" s="161"/>
      <c r="Q108" s="125"/>
      <c r="R108" s="129"/>
      <c r="S108" s="129"/>
      <c r="T108" s="129"/>
      <c r="U108" s="129"/>
      <c r="V108" s="170"/>
      <c r="W108" s="129"/>
      <c r="X108" s="129"/>
      <c r="Y108" s="129"/>
      <c r="Z108" s="168"/>
      <c r="AA108" s="129"/>
      <c r="AB108" s="129"/>
      <c r="AC108" s="129"/>
      <c r="AD108" s="129">
        <v>750</v>
      </c>
      <c r="AE108" s="129">
        <v>600</v>
      </c>
      <c r="AF108" s="129"/>
    </row>
    <row r="109" spans="1:32" s="102" customFormat="1" ht="31.5" outlineLevel="1" x14ac:dyDescent="0.2">
      <c r="A109" s="106">
        <v>37</v>
      </c>
      <c r="B109" s="107" t="s">
        <v>506</v>
      </c>
      <c r="C109" s="22" t="s">
        <v>298</v>
      </c>
      <c r="D109" s="3" t="s">
        <v>12</v>
      </c>
      <c r="E109" s="1">
        <v>220</v>
      </c>
      <c r="F109" s="24" t="s">
        <v>296</v>
      </c>
      <c r="G109" s="146"/>
      <c r="H109" s="154"/>
      <c r="I109" s="154"/>
      <c r="J109" s="154"/>
      <c r="K109" s="154"/>
      <c r="L109" s="154">
        <v>15750</v>
      </c>
      <c r="M109" s="154">
        <v>3850</v>
      </c>
      <c r="N109" s="154">
        <v>3500</v>
      </c>
      <c r="O109" s="153">
        <v>5600</v>
      </c>
      <c r="P109" s="161">
        <v>3850</v>
      </c>
      <c r="Q109" s="125"/>
      <c r="R109" s="129"/>
      <c r="S109" s="129"/>
      <c r="T109" s="129"/>
      <c r="U109" s="129"/>
      <c r="V109" s="170"/>
      <c r="W109" s="129"/>
      <c r="X109" s="129"/>
      <c r="Y109" s="129"/>
      <c r="Z109" s="168"/>
      <c r="AA109" s="129"/>
      <c r="AB109" s="129"/>
      <c r="AC109" s="129"/>
      <c r="AD109" s="129"/>
      <c r="AE109" s="129"/>
      <c r="AF109" s="129"/>
    </row>
    <row r="110" spans="1:32" s="102" customFormat="1" outlineLevel="1" x14ac:dyDescent="0.2">
      <c r="A110" s="106">
        <v>38</v>
      </c>
      <c r="B110" s="107" t="s">
        <v>506</v>
      </c>
      <c r="C110" s="22"/>
      <c r="D110" s="188" t="s">
        <v>565</v>
      </c>
      <c r="E110" s="17">
        <v>200</v>
      </c>
      <c r="F110" s="24" t="s">
        <v>296</v>
      </c>
      <c r="G110" s="146"/>
      <c r="H110" s="154"/>
      <c r="I110" s="154"/>
      <c r="J110" s="154"/>
      <c r="K110" s="154"/>
      <c r="L110" s="154"/>
      <c r="M110" s="154"/>
      <c r="N110" s="154"/>
      <c r="O110" s="153"/>
      <c r="P110" s="161"/>
      <c r="Q110" s="125"/>
      <c r="R110" s="129"/>
      <c r="S110" s="129"/>
      <c r="T110" s="129"/>
      <c r="U110" s="129"/>
      <c r="V110" s="170"/>
      <c r="W110" s="129"/>
      <c r="X110" s="129"/>
      <c r="Y110" s="129"/>
      <c r="Z110" s="168"/>
      <c r="AA110" s="129"/>
      <c r="AB110" s="129"/>
      <c r="AC110" s="129"/>
      <c r="AD110" s="129"/>
      <c r="AE110" s="129"/>
      <c r="AF110" s="129"/>
    </row>
    <row r="111" spans="1:32" s="102" customFormat="1" outlineLevel="1" x14ac:dyDescent="0.2">
      <c r="A111" s="106">
        <v>39</v>
      </c>
      <c r="B111" s="107" t="s">
        <v>506</v>
      </c>
      <c r="C111" s="22"/>
      <c r="D111" s="188" t="s">
        <v>550</v>
      </c>
      <c r="E111" s="128">
        <v>180</v>
      </c>
      <c r="F111" s="24" t="s">
        <v>296</v>
      </c>
      <c r="G111" s="146"/>
      <c r="H111" s="154"/>
      <c r="I111" s="154"/>
      <c r="J111" s="154"/>
      <c r="K111" s="154"/>
      <c r="L111" s="154">
        <v>10150</v>
      </c>
      <c r="M111" s="154">
        <v>7350</v>
      </c>
      <c r="N111" s="154">
        <v>2100</v>
      </c>
      <c r="O111" s="153">
        <v>1050</v>
      </c>
      <c r="P111" s="161">
        <v>17150</v>
      </c>
      <c r="Q111" s="125"/>
      <c r="R111" s="129"/>
      <c r="S111" s="129"/>
      <c r="T111" s="129"/>
      <c r="U111" s="129"/>
      <c r="V111" s="170"/>
      <c r="W111" s="129"/>
      <c r="X111" s="129"/>
      <c r="Y111" s="129"/>
      <c r="Z111" s="168"/>
      <c r="AA111" s="129"/>
      <c r="AB111" s="129"/>
      <c r="AC111" s="129"/>
      <c r="AD111" s="129"/>
      <c r="AE111" s="129"/>
      <c r="AF111" s="129"/>
    </row>
    <row r="112" spans="1:32" s="102" customFormat="1" outlineLevel="1" x14ac:dyDescent="0.2">
      <c r="A112" s="106">
        <v>40</v>
      </c>
      <c r="B112" s="107" t="s">
        <v>506</v>
      </c>
      <c r="C112" s="22" t="s">
        <v>200</v>
      </c>
      <c r="D112" s="3" t="s">
        <v>12</v>
      </c>
      <c r="E112" s="17">
        <v>170</v>
      </c>
      <c r="F112" s="24" t="s">
        <v>200</v>
      </c>
      <c r="G112" s="146"/>
      <c r="H112" s="154"/>
      <c r="I112" s="154"/>
      <c r="J112" s="154"/>
      <c r="K112" s="154"/>
      <c r="L112" s="154">
        <v>9800</v>
      </c>
      <c r="M112" s="154">
        <v>11200</v>
      </c>
      <c r="N112" s="154"/>
      <c r="O112" s="153">
        <v>6300</v>
      </c>
      <c r="P112" s="161">
        <v>5600</v>
      </c>
      <c r="Q112" s="125"/>
      <c r="R112" s="129"/>
      <c r="S112" s="129"/>
      <c r="T112" s="129"/>
      <c r="U112" s="129"/>
      <c r="V112" s="170"/>
      <c r="W112" s="129"/>
      <c r="X112" s="129"/>
      <c r="Y112" s="129"/>
      <c r="Z112" s="168"/>
      <c r="AA112" s="129"/>
      <c r="AB112" s="129"/>
      <c r="AC112" s="129"/>
      <c r="AD112" s="129"/>
      <c r="AE112" s="129"/>
      <c r="AF112" s="129"/>
    </row>
    <row r="113" spans="1:32" s="102" customFormat="1" outlineLevel="1" x14ac:dyDescent="0.2">
      <c r="A113" s="106">
        <v>41</v>
      </c>
      <c r="B113" s="107" t="s">
        <v>506</v>
      </c>
      <c r="C113" s="22"/>
      <c r="D113" s="188" t="s">
        <v>565</v>
      </c>
      <c r="E113" s="128">
        <v>150</v>
      </c>
      <c r="F113" s="24" t="s">
        <v>200</v>
      </c>
      <c r="G113" s="146"/>
      <c r="H113" s="154"/>
      <c r="I113" s="154"/>
      <c r="J113" s="154"/>
      <c r="K113" s="154"/>
      <c r="L113" s="154"/>
      <c r="M113" s="154"/>
      <c r="N113" s="154"/>
      <c r="O113" s="153">
        <v>700</v>
      </c>
      <c r="P113" s="161">
        <v>700</v>
      </c>
      <c r="Q113" s="125"/>
      <c r="R113" s="129"/>
      <c r="S113" s="129"/>
      <c r="T113" s="129"/>
      <c r="U113" s="129"/>
      <c r="V113" s="170"/>
      <c r="W113" s="129"/>
      <c r="X113" s="129"/>
      <c r="Y113" s="129"/>
      <c r="Z113" s="168"/>
      <c r="AA113" s="129"/>
      <c r="AB113" s="129"/>
      <c r="AC113" s="129"/>
      <c r="AD113" s="129"/>
      <c r="AE113" s="129"/>
      <c r="AF113" s="129"/>
    </row>
    <row r="114" spans="1:32" s="102" customFormat="1" outlineLevel="1" x14ac:dyDescent="0.2">
      <c r="A114" s="106">
        <v>42</v>
      </c>
      <c r="B114" s="107" t="s">
        <v>506</v>
      </c>
      <c r="C114" s="22"/>
      <c r="D114" s="188" t="s">
        <v>550</v>
      </c>
      <c r="E114" s="128">
        <v>130</v>
      </c>
      <c r="F114" s="24" t="s">
        <v>200</v>
      </c>
      <c r="G114" s="146"/>
      <c r="H114" s="154"/>
      <c r="I114" s="154"/>
      <c r="J114" s="154"/>
      <c r="K114" s="154"/>
      <c r="L114" s="154">
        <v>5600</v>
      </c>
      <c r="M114" s="154"/>
      <c r="N114" s="154"/>
      <c r="O114" s="153">
        <v>2100</v>
      </c>
      <c r="P114" s="161">
        <v>2100</v>
      </c>
      <c r="Q114" s="125"/>
      <c r="R114" s="129"/>
      <c r="S114" s="129"/>
      <c r="T114" s="129"/>
      <c r="U114" s="129"/>
      <c r="V114" s="170"/>
      <c r="W114" s="129"/>
      <c r="X114" s="129"/>
      <c r="Y114" s="129"/>
      <c r="Z114" s="168"/>
      <c r="AA114" s="129"/>
      <c r="AB114" s="129"/>
      <c r="AC114" s="129"/>
      <c r="AD114" s="129"/>
      <c r="AE114" s="129"/>
      <c r="AF114" s="129"/>
    </row>
    <row r="115" spans="1:32" s="102" customFormat="1" outlineLevel="1" x14ac:dyDescent="0.2">
      <c r="A115" s="106">
        <v>43</v>
      </c>
      <c r="B115" s="107" t="s">
        <v>506</v>
      </c>
      <c r="C115" s="22" t="s">
        <v>202</v>
      </c>
      <c r="D115" s="3" t="s">
        <v>12</v>
      </c>
      <c r="E115" s="17">
        <v>240</v>
      </c>
      <c r="F115" s="24" t="s">
        <v>202</v>
      </c>
      <c r="G115" s="146"/>
      <c r="H115" s="154"/>
      <c r="I115" s="154"/>
      <c r="J115" s="154"/>
      <c r="K115" s="154"/>
      <c r="L115" s="154">
        <v>6300</v>
      </c>
      <c r="M115" s="154"/>
      <c r="N115" s="154"/>
      <c r="O115" s="153"/>
      <c r="P115" s="153"/>
      <c r="Q115" s="125"/>
      <c r="R115" s="129"/>
      <c r="S115" s="129"/>
      <c r="T115" s="129"/>
      <c r="U115" s="129"/>
      <c r="V115" s="170"/>
      <c r="W115" s="129"/>
      <c r="X115" s="129"/>
      <c r="Y115" s="129"/>
      <c r="Z115" s="168"/>
      <c r="AA115" s="129"/>
      <c r="AB115" s="129"/>
      <c r="AC115" s="129"/>
      <c r="AD115" s="129"/>
      <c r="AE115" s="129"/>
      <c r="AF115" s="129"/>
    </row>
    <row r="116" spans="1:32" outlineLevel="1" x14ac:dyDescent="0.2">
      <c r="A116" s="106">
        <v>44</v>
      </c>
      <c r="B116" s="107" t="s">
        <v>506</v>
      </c>
      <c r="C116" s="22"/>
      <c r="D116" s="188" t="s">
        <v>565</v>
      </c>
      <c r="E116" s="128">
        <v>220</v>
      </c>
      <c r="F116" s="24" t="s">
        <v>202</v>
      </c>
      <c r="G116" s="146"/>
      <c r="H116" s="154"/>
      <c r="I116" s="154"/>
      <c r="J116" s="154"/>
      <c r="K116" s="154"/>
      <c r="L116" s="154"/>
      <c r="M116" s="154"/>
      <c r="N116" s="154"/>
      <c r="O116" s="153"/>
      <c r="P116" s="153"/>
      <c r="R116" s="129"/>
      <c r="S116" s="129"/>
      <c r="T116" s="129"/>
      <c r="U116" s="129"/>
      <c r="V116" s="170"/>
      <c r="W116" s="129"/>
      <c r="X116" s="129"/>
      <c r="Y116" s="129"/>
      <c r="Z116" s="168"/>
      <c r="AA116" s="129"/>
      <c r="AB116" s="129"/>
      <c r="AC116" s="129"/>
      <c r="AD116" s="129"/>
      <c r="AE116" s="129"/>
      <c r="AF116" s="129"/>
    </row>
    <row r="117" spans="1:32" ht="23.25" customHeight="1" x14ac:dyDescent="0.2">
      <c r="A117" s="182" t="s">
        <v>73</v>
      </c>
      <c r="B117" s="183"/>
      <c r="C117" s="22"/>
      <c r="D117" s="188" t="s">
        <v>550</v>
      </c>
      <c r="E117" s="128">
        <v>200</v>
      </c>
      <c r="F117" s="24" t="s">
        <v>202</v>
      </c>
      <c r="G117" s="146"/>
      <c r="H117" s="154"/>
      <c r="I117" s="154"/>
      <c r="J117" s="154"/>
      <c r="K117" s="154"/>
      <c r="L117" s="154"/>
      <c r="M117" s="154"/>
      <c r="N117" s="154"/>
      <c r="O117" s="153"/>
      <c r="P117" s="153"/>
      <c r="R117" s="129"/>
      <c r="S117" s="129"/>
      <c r="T117" s="129"/>
      <c r="U117" s="129"/>
      <c r="V117" s="170"/>
      <c r="W117" s="129"/>
      <c r="X117" s="129"/>
      <c r="Y117" s="129"/>
      <c r="Z117" s="168"/>
      <c r="AA117" s="129"/>
      <c r="AB117" s="129"/>
      <c r="AC117" s="129"/>
      <c r="AD117" s="129"/>
      <c r="AE117" s="129"/>
      <c r="AF117" s="129"/>
    </row>
    <row r="118" spans="1:32" outlineLevel="1" x14ac:dyDescent="0.2">
      <c r="A118" s="3">
        <v>1</v>
      </c>
      <c r="B118" s="79" t="s">
        <v>262</v>
      </c>
      <c r="C118" s="2" t="s">
        <v>299</v>
      </c>
      <c r="D118" s="3" t="s">
        <v>12</v>
      </c>
      <c r="E118" s="17">
        <v>350</v>
      </c>
      <c r="F118" s="4" t="s">
        <v>204</v>
      </c>
      <c r="G118" s="146"/>
      <c r="H118" s="153">
        <v>3200</v>
      </c>
      <c r="I118" s="154">
        <v>4180</v>
      </c>
      <c r="J118" s="154"/>
      <c r="K118" s="154">
        <v>1320</v>
      </c>
      <c r="L118" s="154"/>
      <c r="M118" s="154">
        <f>30400+2200+16000</f>
        <v>48600</v>
      </c>
      <c r="N118" s="154">
        <f>3200+1320</f>
        <v>4520</v>
      </c>
      <c r="O118" s="153">
        <f>3200+880</f>
        <v>4080</v>
      </c>
      <c r="P118" s="161">
        <v>1600</v>
      </c>
      <c r="R118" s="129">
        <v>1000</v>
      </c>
      <c r="S118" s="129"/>
      <c r="T118" s="129"/>
      <c r="U118" s="129"/>
      <c r="V118" s="170"/>
      <c r="W118" s="129"/>
      <c r="X118" s="129"/>
      <c r="Y118" s="129"/>
      <c r="Z118" s="168"/>
      <c r="AA118" s="129"/>
      <c r="AB118" s="129"/>
      <c r="AC118" s="129"/>
      <c r="AD118" s="129"/>
      <c r="AE118" s="129">
        <v>1500</v>
      </c>
      <c r="AF118" s="129"/>
    </row>
    <row r="119" spans="1:32" ht="25.5" customHeight="1" outlineLevel="1" x14ac:dyDescent="0.2">
      <c r="A119" s="3">
        <v>2</v>
      </c>
      <c r="B119" s="79" t="s">
        <v>264</v>
      </c>
      <c r="C119" s="126"/>
      <c r="D119" s="188" t="s">
        <v>565</v>
      </c>
      <c r="E119" s="128">
        <v>300</v>
      </c>
      <c r="F119" s="4" t="s">
        <v>204</v>
      </c>
      <c r="G119" s="146"/>
      <c r="H119" s="153">
        <v>77350</v>
      </c>
      <c r="I119" s="154">
        <v>109480</v>
      </c>
      <c r="J119" s="154">
        <f>43330+560</f>
        <v>43890</v>
      </c>
      <c r="K119" s="154">
        <f>1750+63210</f>
        <v>64960</v>
      </c>
      <c r="L119" s="154">
        <v>60550</v>
      </c>
      <c r="M119" s="154">
        <v>55165</v>
      </c>
      <c r="N119" s="154">
        <v>41650</v>
      </c>
      <c r="O119" s="153">
        <v>47250</v>
      </c>
      <c r="P119" s="161">
        <f>55650+4095</f>
        <v>59745</v>
      </c>
      <c r="R119" s="129">
        <v>400</v>
      </c>
      <c r="S119" s="129"/>
      <c r="T119" s="129"/>
      <c r="U119" s="129"/>
      <c r="V119" s="170"/>
      <c r="W119" s="129"/>
      <c r="X119" s="129"/>
      <c r="Y119" s="129"/>
      <c r="Z119" s="168"/>
      <c r="AA119" s="129"/>
      <c r="AB119" s="129"/>
      <c r="AC119" s="129"/>
      <c r="AD119" s="129"/>
      <c r="AE119" s="129">
        <v>500</v>
      </c>
      <c r="AF119" s="129"/>
    </row>
    <row r="120" spans="1:32" ht="31.5" outlineLevel="1" x14ac:dyDescent="0.2">
      <c r="A120" s="3">
        <v>3</v>
      </c>
      <c r="B120" s="79" t="s">
        <v>266</v>
      </c>
      <c r="C120" s="126"/>
      <c r="D120" s="188" t="s">
        <v>550</v>
      </c>
      <c r="E120" s="128">
        <v>250</v>
      </c>
      <c r="F120" s="4" t="s">
        <v>204</v>
      </c>
      <c r="G120" s="146"/>
      <c r="H120" s="153">
        <v>1050</v>
      </c>
      <c r="I120" s="154">
        <v>2800</v>
      </c>
      <c r="J120" s="154">
        <v>1050</v>
      </c>
      <c r="K120" s="154">
        <f>4200+2100</f>
        <v>6300</v>
      </c>
      <c r="L120" s="154">
        <v>350</v>
      </c>
      <c r="M120" s="154">
        <f>700+350</f>
        <v>1050</v>
      </c>
      <c r="N120" s="154">
        <v>1400</v>
      </c>
      <c r="O120" s="153">
        <v>1050</v>
      </c>
      <c r="P120" s="161">
        <v>1400</v>
      </c>
      <c r="R120" s="129">
        <v>300</v>
      </c>
      <c r="S120" s="129"/>
      <c r="T120" s="129"/>
      <c r="U120" s="129"/>
      <c r="V120" s="170"/>
      <c r="W120" s="129"/>
      <c r="X120" s="129"/>
      <c r="Y120" s="129"/>
      <c r="Z120" s="168"/>
      <c r="AA120" s="129"/>
      <c r="AB120" s="129"/>
      <c r="AC120" s="129"/>
      <c r="AD120" s="129"/>
      <c r="AE120" s="129"/>
      <c r="AF120" s="129"/>
    </row>
    <row r="121" spans="1:32" ht="141.75" outlineLevel="1" x14ac:dyDescent="0.2">
      <c r="A121" s="3">
        <v>4</v>
      </c>
      <c r="B121" s="79" t="s">
        <v>267</v>
      </c>
      <c r="C121" s="126" t="s">
        <v>486</v>
      </c>
      <c r="D121" s="127" t="s">
        <v>12</v>
      </c>
      <c r="E121" s="128">
        <v>320</v>
      </c>
      <c r="F121" s="126" t="s">
        <v>487</v>
      </c>
      <c r="G121" s="146"/>
      <c r="H121" s="153">
        <f>7000+350</f>
        <v>7350</v>
      </c>
      <c r="I121" s="154">
        <v>1050</v>
      </c>
      <c r="J121" s="154">
        <v>700</v>
      </c>
      <c r="K121" s="154">
        <f>17500+7000</f>
        <v>24500</v>
      </c>
      <c r="L121" s="154">
        <v>2100</v>
      </c>
      <c r="M121" s="154">
        <v>12950</v>
      </c>
      <c r="N121" s="154">
        <f>1400+700</f>
        <v>2100</v>
      </c>
      <c r="O121" s="153">
        <v>1750</v>
      </c>
      <c r="P121" s="161"/>
      <c r="R121" s="129">
        <v>300</v>
      </c>
      <c r="S121" s="129"/>
      <c r="T121" s="129"/>
      <c r="U121" s="129"/>
      <c r="V121" s="170"/>
      <c r="W121" s="129"/>
      <c r="X121" s="129"/>
      <c r="Y121" s="129"/>
      <c r="Z121" s="168"/>
      <c r="AA121" s="129"/>
      <c r="AB121" s="129"/>
      <c r="AC121" s="129"/>
      <c r="AD121" s="129"/>
      <c r="AE121" s="129"/>
      <c r="AF121" s="129"/>
    </row>
    <row r="122" spans="1:32" outlineLevel="1" x14ac:dyDescent="0.2">
      <c r="A122" s="3">
        <v>5</v>
      </c>
      <c r="B122" s="79" t="s">
        <v>269</v>
      </c>
      <c r="C122" s="126"/>
      <c r="D122" s="188" t="s">
        <v>565</v>
      </c>
      <c r="E122" s="128">
        <v>300</v>
      </c>
      <c r="F122" s="4" t="s">
        <v>555</v>
      </c>
      <c r="G122" s="146"/>
      <c r="H122" s="153">
        <f>1400+49900+660</f>
        <v>51960</v>
      </c>
      <c r="I122" s="154">
        <v>43480</v>
      </c>
      <c r="J122" s="154">
        <f>53900+560</f>
        <v>54460</v>
      </c>
      <c r="K122" s="154">
        <v>79500</v>
      </c>
      <c r="L122" s="154">
        <v>60800</v>
      </c>
      <c r="M122" s="154">
        <v>39700</v>
      </c>
      <c r="N122" s="154">
        <v>58400</v>
      </c>
      <c r="O122" s="153">
        <v>36000</v>
      </c>
      <c r="P122" s="161">
        <f>59200</f>
        <v>59200</v>
      </c>
      <c r="R122" s="129"/>
      <c r="S122" s="129"/>
      <c r="T122" s="129"/>
      <c r="U122" s="129"/>
      <c r="V122" s="170"/>
      <c r="W122" s="129"/>
      <c r="X122" s="129"/>
      <c r="Y122" s="129"/>
      <c r="Z122" s="168"/>
      <c r="AA122" s="129"/>
      <c r="AB122" s="129"/>
      <c r="AC122" s="129"/>
      <c r="AD122" s="129"/>
      <c r="AE122" s="129">
        <v>700</v>
      </c>
      <c r="AF122" s="129"/>
    </row>
    <row r="123" spans="1:32" outlineLevel="1" x14ac:dyDescent="0.2">
      <c r="A123" s="3">
        <v>6</v>
      </c>
      <c r="B123" s="79" t="s">
        <v>321</v>
      </c>
      <c r="C123" s="126"/>
      <c r="D123" s="188" t="s">
        <v>550</v>
      </c>
      <c r="E123" s="128">
        <v>280</v>
      </c>
      <c r="F123" s="4" t="s">
        <v>555</v>
      </c>
      <c r="G123" s="146"/>
      <c r="H123" s="153"/>
      <c r="I123" s="154"/>
      <c r="J123" s="154"/>
      <c r="K123" s="154"/>
      <c r="L123" s="154"/>
      <c r="M123" s="154"/>
      <c r="N123" s="154"/>
      <c r="O123" s="153"/>
      <c r="P123" s="161"/>
      <c r="R123" s="129"/>
      <c r="S123" s="129"/>
      <c r="T123" s="129"/>
      <c r="U123" s="129"/>
      <c r="V123" s="170"/>
      <c r="W123" s="129"/>
      <c r="X123" s="129"/>
      <c r="Y123" s="129"/>
      <c r="Z123" s="168"/>
      <c r="AA123" s="129"/>
      <c r="AB123" s="129"/>
      <c r="AC123" s="129"/>
      <c r="AD123" s="129"/>
      <c r="AE123" s="129"/>
      <c r="AF123" s="129"/>
    </row>
    <row r="124" spans="1:32" outlineLevel="1" x14ac:dyDescent="0.2">
      <c r="A124" s="3">
        <v>7</v>
      </c>
      <c r="B124" s="79" t="s">
        <v>322</v>
      </c>
      <c r="C124" s="22" t="s">
        <v>206</v>
      </c>
      <c r="D124" s="3" t="s">
        <v>12</v>
      </c>
      <c r="E124" s="17">
        <v>120</v>
      </c>
      <c r="F124" s="24" t="s">
        <v>206</v>
      </c>
      <c r="G124" s="146"/>
      <c r="H124" s="153"/>
      <c r="I124" s="154">
        <v>360</v>
      </c>
      <c r="J124" s="154"/>
      <c r="K124" s="154"/>
      <c r="L124" s="154">
        <v>216</v>
      </c>
      <c r="M124" s="154">
        <v>360</v>
      </c>
      <c r="N124" s="154"/>
      <c r="O124" s="153"/>
      <c r="P124" s="161"/>
      <c r="R124" s="129"/>
      <c r="S124" s="129"/>
      <c r="T124" s="129"/>
      <c r="U124" s="129"/>
      <c r="V124" s="170"/>
      <c r="W124" s="129"/>
      <c r="X124" s="129"/>
      <c r="Y124" s="129"/>
      <c r="Z124" s="168"/>
      <c r="AA124" s="129"/>
      <c r="AB124" s="129"/>
      <c r="AC124" s="129"/>
      <c r="AD124" s="129"/>
      <c r="AE124" s="129"/>
      <c r="AF124" s="129"/>
    </row>
    <row r="125" spans="1:32" ht="31.5" outlineLevel="1" x14ac:dyDescent="0.2">
      <c r="A125" s="3">
        <v>8</v>
      </c>
      <c r="B125" s="79" t="s">
        <v>272</v>
      </c>
      <c r="C125" s="22"/>
      <c r="D125" s="188" t="s">
        <v>565</v>
      </c>
      <c r="E125" s="128">
        <v>110</v>
      </c>
      <c r="F125" s="24" t="s">
        <v>206</v>
      </c>
      <c r="G125" s="146"/>
      <c r="H125" s="153">
        <v>2640</v>
      </c>
      <c r="I125" s="154"/>
      <c r="J125" s="154">
        <v>790</v>
      </c>
      <c r="K125" s="154">
        <v>4400</v>
      </c>
      <c r="L125" s="154">
        <v>3520</v>
      </c>
      <c r="M125" s="154">
        <v>2200</v>
      </c>
      <c r="N125" s="154">
        <v>3520</v>
      </c>
      <c r="O125" s="153">
        <v>880</v>
      </c>
      <c r="P125" s="161">
        <v>440</v>
      </c>
      <c r="R125" s="129"/>
      <c r="S125" s="129"/>
      <c r="T125" s="129"/>
      <c r="U125" s="129"/>
      <c r="V125" s="170"/>
      <c r="W125" s="129"/>
      <c r="X125" s="129"/>
      <c r="Y125" s="129"/>
      <c r="Z125" s="168"/>
      <c r="AA125" s="129"/>
      <c r="AB125" s="129"/>
      <c r="AC125" s="129"/>
      <c r="AD125" s="129"/>
      <c r="AE125" s="129"/>
      <c r="AF125" s="129"/>
    </row>
    <row r="126" spans="1:32" ht="23.25" x14ac:dyDescent="0.2">
      <c r="A126" s="176" t="s">
        <v>74</v>
      </c>
      <c r="B126" s="177"/>
      <c r="C126" s="22"/>
      <c r="D126" s="188" t="s">
        <v>550</v>
      </c>
      <c r="E126" s="128">
        <v>100</v>
      </c>
      <c r="F126" s="24" t="s">
        <v>206</v>
      </c>
      <c r="G126" s="146"/>
      <c r="H126" s="154"/>
      <c r="I126" s="154"/>
      <c r="J126" s="154"/>
      <c r="K126" s="154"/>
      <c r="L126" s="154"/>
      <c r="M126" s="154"/>
      <c r="N126" s="154"/>
      <c r="O126" s="153"/>
      <c r="P126" s="161"/>
      <c r="R126" s="129"/>
      <c r="S126" s="129"/>
      <c r="T126" s="129"/>
      <c r="U126" s="129"/>
      <c r="V126" s="170"/>
      <c r="W126" s="129"/>
      <c r="X126" s="129"/>
      <c r="Y126" s="129"/>
      <c r="Z126" s="168"/>
      <c r="AA126" s="129"/>
      <c r="AB126" s="129"/>
      <c r="AC126" s="129"/>
      <c r="AD126" s="129"/>
      <c r="AE126" s="129"/>
      <c r="AF126" s="129"/>
    </row>
    <row r="127" spans="1:32" ht="31.5" outlineLevel="1" x14ac:dyDescent="0.25">
      <c r="A127" s="321">
        <v>1</v>
      </c>
      <c r="B127" s="306" t="s">
        <v>217</v>
      </c>
      <c r="C127" s="41" t="s">
        <v>394</v>
      </c>
      <c r="D127" s="3" t="s">
        <v>12</v>
      </c>
      <c r="E127" s="17">
        <v>170</v>
      </c>
      <c r="F127" s="24" t="s">
        <v>304</v>
      </c>
      <c r="G127" s="146"/>
      <c r="H127" s="153">
        <v>2450</v>
      </c>
      <c r="I127" s="154"/>
      <c r="J127" s="154">
        <v>350</v>
      </c>
      <c r="K127" s="154"/>
      <c r="L127" s="154"/>
      <c r="M127" s="154"/>
      <c r="N127" s="154">
        <v>2400</v>
      </c>
      <c r="O127" s="153">
        <f>1750+1200</f>
        <v>2950</v>
      </c>
      <c r="P127" s="161">
        <f>3600+5500</f>
        <v>9100</v>
      </c>
      <c r="R127" s="129"/>
      <c r="S127" s="129"/>
      <c r="T127" s="129"/>
      <c r="U127" s="129"/>
      <c r="V127" s="170"/>
      <c r="W127" s="129"/>
      <c r="X127" s="129"/>
      <c r="Y127" s="129"/>
      <c r="Z127" s="168"/>
      <c r="AA127" s="129"/>
      <c r="AB127" s="129"/>
      <c r="AC127" s="129"/>
      <c r="AD127" s="129"/>
      <c r="AE127" s="129"/>
      <c r="AF127" s="129"/>
    </row>
    <row r="128" spans="1:32" outlineLevel="1" x14ac:dyDescent="0.25">
      <c r="A128" s="321"/>
      <c r="B128" s="307"/>
      <c r="C128" s="41"/>
      <c r="D128" s="188" t="s">
        <v>565</v>
      </c>
      <c r="E128" s="128">
        <v>160</v>
      </c>
      <c r="F128" s="24" t="s">
        <v>304</v>
      </c>
      <c r="G128" s="146"/>
      <c r="H128" s="153">
        <v>350</v>
      </c>
      <c r="I128" s="154"/>
      <c r="J128" s="154"/>
      <c r="K128" s="154">
        <v>2000</v>
      </c>
      <c r="L128" s="154"/>
      <c r="M128" s="154"/>
      <c r="N128" s="154"/>
      <c r="O128" s="153"/>
      <c r="P128" s="161"/>
      <c r="R128" s="129"/>
      <c r="S128" s="129"/>
      <c r="T128" s="129"/>
      <c r="U128" s="129"/>
      <c r="V128" s="170"/>
      <c r="W128" s="129"/>
      <c r="X128" s="129"/>
      <c r="Y128" s="129"/>
      <c r="Z128" s="168"/>
      <c r="AA128" s="129"/>
      <c r="AB128" s="129"/>
      <c r="AC128" s="129"/>
      <c r="AD128" s="129"/>
      <c r="AE128" s="129"/>
      <c r="AF128" s="129"/>
    </row>
    <row r="129" spans="1:32" outlineLevel="1" x14ac:dyDescent="0.25">
      <c r="A129" s="309">
        <v>2</v>
      </c>
      <c r="B129" s="307"/>
      <c r="C129" s="41"/>
      <c r="D129" s="188" t="s">
        <v>550</v>
      </c>
      <c r="E129" s="128">
        <v>150</v>
      </c>
      <c r="F129" s="24" t="s">
        <v>304</v>
      </c>
      <c r="G129" s="146"/>
      <c r="H129" s="153">
        <f>5000+2250+3000</f>
        <v>10250</v>
      </c>
      <c r="I129" s="154">
        <f>1000+1250</f>
        <v>2250</v>
      </c>
      <c r="J129" s="154">
        <v>2500</v>
      </c>
      <c r="K129" s="154">
        <f>1750+1750</f>
        <v>3500</v>
      </c>
      <c r="L129" s="154">
        <f>2500+1250</f>
        <v>3750</v>
      </c>
      <c r="M129" s="154">
        <f>700+5750+1250</f>
        <v>7700</v>
      </c>
      <c r="N129" s="154">
        <f>1250+500</f>
        <v>1750</v>
      </c>
      <c r="O129" s="153">
        <v>2250</v>
      </c>
      <c r="P129" s="161">
        <v>4100</v>
      </c>
      <c r="R129" s="129"/>
      <c r="S129" s="129"/>
      <c r="T129" s="129"/>
      <c r="U129" s="129"/>
      <c r="V129" s="170"/>
      <c r="W129" s="129"/>
      <c r="X129" s="129"/>
      <c r="Y129" s="129"/>
      <c r="Z129" s="168"/>
      <c r="AA129" s="129"/>
      <c r="AB129" s="129"/>
      <c r="AC129" s="129"/>
      <c r="AD129" s="129"/>
      <c r="AE129" s="129"/>
      <c r="AF129" s="129"/>
    </row>
    <row r="130" spans="1:32" ht="31.5" outlineLevel="1" x14ac:dyDescent="0.25">
      <c r="A130" s="309"/>
      <c r="B130" s="308"/>
      <c r="C130" s="41" t="s">
        <v>300</v>
      </c>
      <c r="D130" s="3" t="s">
        <v>12</v>
      </c>
      <c r="E130" s="17">
        <v>120</v>
      </c>
      <c r="F130" s="24" t="s">
        <v>302</v>
      </c>
      <c r="G130" s="146"/>
      <c r="H130" s="153"/>
      <c r="I130" s="154"/>
      <c r="J130" s="154"/>
      <c r="K130" s="154"/>
      <c r="L130" s="154"/>
      <c r="M130" s="154"/>
      <c r="N130" s="154"/>
      <c r="O130" s="153"/>
      <c r="P130" s="153"/>
      <c r="R130" s="129"/>
      <c r="S130" s="129"/>
      <c r="T130" s="129"/>
      <c r="U130" s="129"/>
      <c r="V130" s="170"/>
      <c r="W130" s="129"/>
      <c r="X130" s="129"/>
      <c r="Y130" s="129"/>
      <c r="Z130" s="168"/>
      <c r="AA130" s="129"/>
      <c r="AB130" s="129"/>
      <c r="AC130" s="129"/>
      <c r="AD130" s="129"/>
      <c r="AE130" s="129"/>
      <c r="AF130" s="129"/>
    </row>
    <row r="131" spans="1:32" ht="23.25" x14ac:dyDescent="0.25">
      <c r="A131" s="176" t="s">
        <v>77</v>
      </c>
      <c r="B131" s="177"/>
      <c r="C131" s="41"/>
      <c r="D131" s="188" t="s">
        <v>565</v>
      </c>
      <c r="E131" s="128">
        <v>110</v>
      </c>
      <c r="F131" s="24" t="s">
        <v>302</v>
      </c>
      <c r="G131" s="146"/>
      <c r="H131" s="154"/>
      <c r="I131" s="154"/>
      <c r="J131" s="154"/>
      <c r="K131" s="154"/>
      <c r="L131" s="154"/>
      <c r="M131" s="154"/>
      <c r="N131" s="154"/>
      <c r="O131" s="153"/>
      <c r="P131" s="153"/>
      <c r="R131" s="129"/>
      <c r="S131" s="129"/>
      <c r="T131" s="129"/>
      <c r="U131" s="129"/>
      <c r="V131" s="170"/>
      <c r="W131" s="129"/>
      <c r="X131" s="129"/>
      <c r="Y131" s="129"/>
      <c r="Z131" s="168"/>
      <c r="AA131" s="129"/>
      <c r="AB131" s="129"/>
      <c r="AC131" s="129"/>
      <c r="AD131" s="129"/>
      <c r="AE131" s="129"/>
      <c r="AF131" s="129"/>
    </row>
    <row r="132" spans="1:32" ht="18" customHeight="1" outlineLevel="1" x14ac:dyDescent="0.25">
      <c r="A132" s="305">
        <v>1</v>
      </c>
      <c r="B132" s="306" t="s">
        <v>218</v>
      </c>
      <c r="C132" s="41"/>
      <c r="D132" s="188" t="s">
        <v>550</v>
      </c>
      <c r="E132" s="128">
        <v>100</v>
      </c>
      <c r="F132" s="24" t="s">
        <v>302</v>
      </c>
      <c r="G132" s="146"/>
      <c r="H132" s="154"/>
      <c r="I132" s="154"/>
      <c r="J132" s="154"/>
      <c r="K132" s="154"/>
      <c r="L132" s="154"/>
      <c r="M132" s="154"/>
      <c r="N132" s="154"/>
      <c r="O132" s="153"/>
      <c r="P132" s="153"/>
      <c r="R132" s="129"/>
      <c r="S132" s="129"/>
      <c r="T132" s="129"/>
      <c r="U132" s="129"/>
      <c r="V132" s="170"/>
      <c r="W132" s="129"/>
      <c r="X132" s="129"/>
      <c r="Y132" s="129"/>
      <c r="Z132" s="168"/>
      <c r="AA132" s="129"/>
      <c r="AB132" s="129"/>
      <c r="AC132" s="129"/>
      <c r="AD132" s="129"/>
      <c r="AE132" s="129"/>
      <c r="AF132" s="129"/>
    </row>
    <row r="133" spans="1:32" ht="39" customHeight="1" outlineLevel="1" x14ac:dyDescent="0.2">
      <c r="A133" s="305"/>
      <c r="B133" s="307"/>
      <c r="C133" s="22" t="s">
        <v>303</v>
      </c>
      <c r="D133" s="3" t="s">
        <v>12</v>
      </c>
      <c r="E133" s="17">
        <v>120</v>
      </c>
      <c r="F133" s="24" t="s">
        <v>305</v>
      </c>
      <c r="G133" s="146"/>
      <c r="H133" s="153">
        <v>99000</v>
      </c>
      <c r="I133" s="154">
        <f>68600+1600</f>
        <v>70200</v>
      </c>
      <c r="J133" s="154">
        <v>78200</v>
      </c>
      <c r="K133" s="154">
        <v>106720</v>
      </c>
      <c r="L133" s="154">
        <f>87600+2178</f>
        <v>89778</v>
      </c>
      <c r="M133" s="154">
        <v>105640</v>
      </c>
      <c r="N133" s="154">
        <v>118080</v>
      </c>
      <c r="O133" s="153">
        <v>93700</v>
      </c>
      <c r="P133" s="161">
        <v>62920</v>
      </c>
      <c r="Q133" s="162"/>
      <c r="R133" s="163"/>
      <c r="S133" s="163"/>
      <c r="T133" s="165"/>
      <c r="U133" s="165"/>
      <c r="V133" s="171"/>
      <c r="W133" s="166"/>
      <c r="X133" s="129"/>
      <c r="Y133" s="129"/>
      <c r="Z133" s="168"/>
      <c r="AA133" s="129"/>
      <c r="AB133" s="129"/>
      <c r="AC133" s="129"/>
      <c r="AD133" s="129"/>
      <c r="AE133" s="129"/>
      <c r="AF133" s="129"/>
    </row>
    <row r="134" spans="1:32" ht="38.25" customHeight="1" outlineLevel="1" x14ac:dyDescent="0.2">
      <c r="A134" s="305"/>
      <c r="B134" s="307"/>
      <c r="C134" s="22"/>
      <c r="D134" s="188" t="s">
        <v>549</v>
      </c>
      <c r="E134" s="128">
        <v>110</v>
      </c>
      <c r="F134" s="24" t="s">
        <v>305</v>
      </c>
      <c r="G134" s="146"/>
      <c r="H134" s="153">
        <v>91200</v>
      </c>
      <c r="I134" s="154">
        <v>65280</v>
      </c>
      <c r="J134" s="154">
        <v>98320</v>
      </c>
      <c r="K134" s="154">
        <v>102960</v>
      </c>
      <c r="L134" s="154">
        <v>150720</v>
      </c>
      <c r="M134" s="154">
        <v>128880</v>
      </c>
      <c r="N134" s="154">
        <v>151400</v>
      </c>
      <c r="O134" s="153">
        <v>130800</v>
      </c>
      <c r="P134" s="161">
        <v>81840</v>
      </c>
      <c r="Q134" s="162"/>
      <c r="R134" s="163"/>
      <c r="S134" s="163"/>
      <c r="T134" s="165"/>
      <c r="U134" s="165"/>
      <c r="V134" s="171"/>
      <c r="W134" s="166"/>
      <c r="X134" s="129"/>
      <c r="Y134" s="129"/>
      <c r="Z134" s="168"/>
      <c r="AA134" s="129"/>
      <c r="AB134" s="129"/>
      <c r="AC134" s="129"/>
      <c r="AD134" s="129"/>
      <c r="AE134" s="129"/>
      <c r="AF134" s="129"/>
    </row>
    <row r="135" spans="1:32" ht="32.25" customHeight="1" outlineLevel="1" x14ac:dyDescent="0.2">
      <c r="A135" s="305"/>
      <c r="B135" s="307"/>
      <c r="C135" s="22"/>
      <c r="D135" s="188" t="s">
        <v>550</v>
      </c>
      <c r="E135" s="128">
        <v>100</v>
      </c>
      <c r="F135" s="24" t="s">
        <v>305</v>
      </c>
      <c r="G135" s="146"/>
      <c r="H135" s="153">
        <v>156600</v>
      </c>
      <c r="I135" s="154">
        <v>160920</v>
      </c>
      <c r="J135" s="154">
        <v>294300</v>
      </c>
      <c r="K135" s="154">
        <v>561420</v>
      </c>
      <c r="L135" s="154">
        <v>582990</v>
      </c>
      <c r="M135" s="154">
        <v>455160</v>
      </c>
      <c r="N135" s="154">
        <v>696270</v>
      </c>
      <c r="O135" s="153">
        <v>503640</v>
      </c>
      <c r="P135" s="161">
        <v>303030</v>
      </c>
      <c r="Q135" s="162"/>
      <c r="R135" s="163"/>
      <c r="S135" s="163"/>
      <c r="T135" s="165"/>
      <c r="U135" s="165"/>
      <c r="V135" s="171"/>
      <c r="W135" s="166"/>
      <c r="X135" s="129"/>
      <c r="Y135" s="129"/>
      <c r="Z135" s="168"/>
      <c r="AA135" s="129"/>
      <c r="AB135" s="129"/>
      <c r="AC135" s="129"/>
      <c r="AD135" s="129"/>
      <c r="AE135" s="129"/>
      <c r="AF135" s="129"/>
    </row>
    <row r="136" spans="1:32" ht="15.75" customHeight="1" outlineLevel="1" x14ac:dyDescent="0.2">
      <c r="A136" s="305"/>
      <c r="B136" s="308"/>
      <c r="C136" s="22" t="s">
        <v>306</v>
      </c>
      <c r="D136" s="3" t="s">
        <v>12</v>
      </c>
      <c r="E136" s="17">
        <v>500</v>
      </c>
      <c r="F136" s="24" t="s">
        <v>308</v>
      </c>
      <c r="G136" s="146"/>
      <c r="H136" s="153"/>
      <c r="I136" s="154"/>
      <c r="J136" s="154"/>
      <c r="K136" s="154"/>
      <c r="L136" s="154"/>
      <c r="M136" s="154"/>
      <c r="N136" s="154"/>
      <c r="O136" s="153"/>
      <c r="P136" s="161"/>
      <c r="Q136" s="162"/>
      <c r="R136" s="163"/>
      <c r="S136" s="163"/>
      <c r="T136" s="165"/>
      <c r="U136" s="165"/>
      <c r="V136" s="171"/>
      <c r="W136" s="166"/>
      <c r="X136" s="129"/>
      <c r="Y136" s="129"/>
      <c r="Z136" s="168"/>
      <c r="AA136" s="129"/>
      <c r="AB136" s="129"/>
      <c r="AC136" s="129"/>
      <c r="AD136" s="129"/>
      <c r="AE136" s="129"/>
      <c r="AF136" s="129"/>
    </row>
    <row r="137" spans="1:32" outlineLevel="1" x14ac:dyDescent="0.2">
      <c r="A137" s="305">
        <v>2</v>
      </c>
      <c r="B137" s="306" t="s">
        <v>218</v>
      </c>
      <c r="C137" s="22"/>
      <c r="D137" s="188" t="s">
        <v>565</v>
      </c>
      <c r="E137" s="128">
        <v>470</v>
      </c>
      <c r="F137" s="24" t="s">
        <v>308</v>
      </c>
      <c r="G137" s="146"/>
      <c r="H137" s="154"/>
      <c r="I137" s="154"/>
      <c r="J137" s="154"/>
      <c r="K137" s="154"/>
      <c r="L137" s="154"/>
      <c r="M137" s="154"/>
      <c r="N137" s="154"/>
      <c r="O137" s="153"/>
      <c r="P137" s="161"/>
      <c r="Q137" s="162"/>
      <c r="R137" s="163"/>
      <c r="S137" s="163"/>
      <c r="T137" s="165"/>
      <c r="U137" s="165"/>
      <c r="V137" s="171"/>
      <c r="W137" s="166"/>
      <c r="X137" s="129"/>
      <c r="Y137" s="129"/>
      <c r="Z137" s="168"/>
      <c r="AA137" s="129"/>
      <c r="AB137" s="129"/>
      <c r="AC137" s="129"/>
      <c r="AD137" s="129"/>
      <c r="AE137" s="129"/>
      <c r="AF137" s="129"/>
    </row>
    <row r="138" spans="1:32" ht="36" customHeight="1" outlineLevel="1" x14ac:dyDescent="0.2">
      <c r="A138" s="305"/>
      <c r="B138" s="307"/>
      <c r="C138" s="22"/>
      <c r="D138" s="188" t="s">
        <v>550</v>
      </c>
      <c r="E138" s="128">
        <v>450</v>
      </c>
      <c r="F138" s="24" t="s">
        <v>308</v>
      </c>
      <c r="G138" s="146"/>
      <c r="H138" s="153">
        <f>42020+2100</f>
        <v>44120</v>
      </c>
      <c r="I138" s="154">
        <f>31020</f>
        <v>31020</v>
      </c>
      <c r="J138" s="154">
        <f>27940</f>
        <v>27940</v>
      </c>
      <c r="K138" s="154">
        <f>52700+4800</f>
        <v>57500</v>
      </c>
      <c r="L138" s="154">
        <f>58320+13806</f>
        <v>72126</v>
      </c>
      <c r="M138" s="154">
        <f>55680+1710</f>
        <v>57390</v>
      </c>
      <c r="N138" s="154">
        <f>45600+5400</f>
        <v>51000</v>
      </c>
      <c r="O138" s="153">
        <f>79680</f>
        <v>79680</v>
      </c>
      <c r="P138" s="161">
        <f>432+57360</f>
        <v>57792</v>
      </c>
      <c r="Q138" s="162"/>
      <c r="R138" s="163"/>
      <c r="S138" s="163"/>
      <c r="T138" s="165"/>
      <c r="U138" s="165"/>
      <c r="V138" s="171"/>
      <c r="W138" s="166"/>
      <c r="X138" s="129"/>
      <c r="Y138" s="129"/>
      <c r="Z138" s="168"/>
      <c r="AA138" s="129"/>
      <c r="AB138" s="129"/>
      <c r="AC138" s="129"/>
      <c r="AD138" s="129"/>
      <c r="AE138" s="129"/>
      <c r="AF138" s="129"/>
    </row>
    <row r="139" spans="1:32" ht="33" customHeight="1" outlineLevel="1" x14ac:dyDescent="0.2">
      <c r="A139" s="305"/>
      <c r="B139" s="307"/>
      <c r="C139" s="22" t="s">
        <v>307</v>
      </c>
      <c r="D139" s="3" t="s">
        <v>12</v>
      </c>
      <c r="E139" s="17">
        <v>600</v>
      </c>
      <c r="F139" s="24" t="s">
        <v>309</v>
      </c>
      <c r="G139" s="146"/>
      <c r="H139" s="153">
        <f>103200+8040</f>
        <v>111240</v>
      </c>
      <c r="I139" s="154">
        <f>165900+7660</f>
        <v>173560</v>
      </c>
      <c r="J139" s="154">
        <f>222300+1640</f>
        <v>223940</v>
      </c>
      <c r="K139" s="154">
        <f>99990+5800</f>
        <v>105790</v>
      </c>
      <c r="L139" s="154">
        <v>109200</v>
      </c>
      <c r="M139" s="154">
        <v>69300</v>
      </c>
      <c r="N139" s="154">
        <f>78300+540</f>
        <v>78840</v>
      </c>
      <c r="O139" s="153">
        <f>72900+810</f>
        <v>73710</v>
      </c>
      <c r="P139" s="161">
        <f>3780+78900</f>
        <v>82680</v>
      </c>
      <c r="R139" s="129"/>
      <c r="S139" s="129"/>
      <c r="T139" s="129"/>
      <c r="U139" s="129"/>
      <c r="V139" s="170"/>
      <c r="W139" s="129"/>
      <c r="X139" s="129"/>
      <c r="Y139" s="129"/>
      <c r="Z139" s="168"/>
      <c r="AA139" s="129"/>
      <c r="AB139" s="129"/>
      <c r="AC139" s="129"/>
      <c r="AD139" s="129"/>
      <c r="AE139" s="129"/>
      <c r="AF139" s="129"/>
    </row>
    <row r="140" spans="1:32" ht="37.5" customHeight="1" outlineLevel="1" x14ac:dyDescent="0.2">
      <c r="A140" s="305"/>
      <c r="B140" s="307"/>
      <c r="C140" s="22"/>
      <c r="D140" s="188" t="s">
        <v>565</v>
      </c>
      <c r="E140" s="128">
        <v>570</v>
      </c>
      <c r="F140" s="24" t="s">
        <v>309</v>
      </c>
      <c r="G140" s="146"/>
      <c r="H140" s="153">
        <f>137430+80</f>
        <v>137510</v>
      </c>
      <c r="I140" s="154">
        <f>68310+640</f>
        <v>68950</v>
      </c>
      <c r="J140" s="154">
        <f>99900+320</f>
        <v>100220</v>
      </c>
      <c r="K140" s="154">
        <v>196320</v>
      </c>
      <c r="L140" s="154">
        <v>235200</v>
      </c>
      <c r="M140" s="154">
        <v>260430</v>
      </c>
      <c r="N140" s="154">
        <v>237870</v>
      </c>
      <c r="O140" s="153">
        <v>324390</v>
      </c>
      <c r="P140" s="161">
        <f>1188+201300</f>
        <v>202488</v>
      </c>
      <c r="R140" s="129"/>
      <c r="S140" s="129"/>
      <c r="T140" s="129"/>
      <c r="U140" s="129"/>
      <c r="V140" s="170"/>
      <c r="W140" s="129"/>
      <c r="X140" s="129"/>
      <c r="Y140" s="129"/>
      <c r="Z140" s="168"/>
      <c r="AA140" s="129"/>
      <c r="AB140" s="129"/>
      <c r="AC140" s="129"/>
      <c r="AD140" s="129"/>
      <c r="AE140" s="129"/>
      <c r="AF140" s="129"/>
    </row>
    <row r="141" spans="1:32" ht="50.25" customHeight="1" outlineLevel="1" x14ac:dyDescent="0.2">
      <c r="A141" s="305"/>
      <c r="B141" s="308"/>
      <c r="C141" s="22"/>
      <c r="D141" s="188" t="s">
        <v>550</v>
      </c>
      <c r="E141" s="128">
        <v>550</v>
      </c>
      <c r="F141" s="24" t="s">
        <v>309</v>
      </c>
      <c r="G141" s="146"/>
      <c r="H141" s="153">
        <v>24720</v>
      </c>
      <c r="I141" s="154">
        <v>8160</v>
      </c>
      <c r="J141" s="154">
        <v>31320</v>
      </c>
      <c r="K141" s="154">
        <v>197610</v>
      </c>
      <c r="L141" s="154">
        <v>231290</v>
      </c>
      <c r="M141" s="154">
        <v>170745</v>
      </c>
      <c r="N141" s="154">
        <v>121320</v>
      </c>
      <c r="O141" s="153">
        <v>101900</v>
      </c>
      <c r="P141" s="161">
        <v>244400</v>
      </c>
      <c r="R141" s="129"/>
      <c r="S141" s="129"/>
      <c r="T141" s="129"/>
      <c r="U141" s="129"/>
      <c r="V141" s="170"/>
      <c r="W141" s="129"/>
      <c r="X141" s="129"/>
      <c r="Y141" s="129"/>
      <c r="Z141" s="168"/>
      <c r="AA141" s="129"/>
      <c r="AB141" s="129"/>
      <c r="AC141" s="129"/>
      <c r="AD141" s="129"/>
      <c r="AE141" s="129"/>
      <c r="AF141" s="129"/>
    </row>
    <row r="142" spans="1:32" ht="15.75" customHeight="1" outlineLevel="1" x14ac:dyDescent="0.2">
      <c r="A142" s="305">
        <v>3</v>
      </c>
      <c r="B142" s="191" t="s">
        <v>402</v>
      </c>
      <c r="C142" s="22" t="s">
        <v>210</v>
      </c>
      <c r="D142" s="188" t="s">
        <v>550</v>
      </c>
      <c r="E142" s="17">
        <v>300</v>
      </c>
      <c r="F142" s="24" t="s">
        <v>210</v>
      </c>
      <c r="G142" s="146"/>
      <c r="H142" s="153">
        <v>20400</v>
      </c>
      <c r="I142" s="154">
        <v>12000</v>
      </c>
      <c r="J142" s="154">
        <v>21600</v>
      </c>
      <c r="K142" s="154">
        <f>26400+360</f>
        <v>26760</v>
      </c>
      <c r="L142" s="154">
        <v>30800</v>
      </c>
      <c r="M142" s="154">
        <v>14000</v>
      </c>
      <c r="N142" s="154">
        <v>27200</v>
      </c>
      <c r="O142" s="153">
        <v>28000</v>
      </c>
      <c r="P142" s="161">
        <v>18000</v>
      </c>
      <c r="R142" s="129"/>
      <c r="S142" s="129"/>
      <c r="T142" s="129"/>
      <c r="U142" s="129"/>
      <c r="V142" s="170"/>
      <c r="W142" s="129"/>
      <c r="X142" s="129"/>
      <c r="Y142" s="129"/>
      <c r="Z142" s="168"/>
      <c r="AA142" s="129"/>
      <c r="AB142" s="129"/>
      <c r="AC142" s="129"/>
      <c r="AD142" s="129"/>
      <c r="AE142" s="129"/>
      <c r="AF142" s="129"/>
    </row>
    <row r="143" spans="1:32" ht="21" customHeight="1" outlineLevel="1" x14ac:dyDescent="0.2">
      <c r="A143" s="305"/>
      <c r="B143" s="87" t="s">
        <v>400</v>
      </c>
      <c r="C143" s="306" t="s">
        <v>310</v>
      </c>
      <c r="D143" s="3" t="s">
        <v>15</v>
      </c>
      <c r="E143" s="17">
        <v>600</v>
      </c>
      <c r="F143" s="329" t="s">
        <v>211</v>
      </c>
      <c r="G143" s="146"/>
      <c r="H143" s="154"/>
      <c r="I143" s="154"/>
      <c r="J143" s="154"/>
      <c r="K143" s="154"/>
      <c r="L143" s="154"/>
      <c r="M143" s="154"/>
      <c r="N143" s="154"/>
      <c r="O143" s="153"/>
      <c r="P143" s="161"/>
      <c r="R143" s="129"/>
      <c r="S143" s="129"/>
      <c r="T143" s="129"/>
      <c r="U143" s="129"/>
      <c r="V143" s="170"/>
      <c r="W143" s="129"/>
      <c r="X143" s="129"/>
      <c r="Y143" s="129"/>
      <c r="Z143" s="168"/>
      <c r="AA143" s="129"/>
      <c r="AB143" s="129"/>
      <c r="AC143" s="129"/>
      <c r="AD143" s="129"/>
      <c r="AE143" s="129"/>
      <c r="AF143" s="129"/>
    </row>
    <row r="144" spans="1:32" ht="36.75" customHeight="1" outlineLevel="1" x14ac:dyDescent="0.2">
      <c r="A144" s="305"/>
      <c r="B144" s="5" t="s">
        <v>396</v>
      </c>
      <c r="C144" s="308"/>
      <c r="D144" s="3" t="s">
        <v>16</v>
      </c>
      <c r="E144" s="17">
        <v>800</v>
      </c>
      <c r="F144" s="330"/>
      <c r="G144" s="146"/>
      <c r="H144" s="154"/>
      <c r="I144" s="154"/>
      <c r="J144" s="154"/>
      <c r="K144" s="154"/>
      <c r="L144" s="154"/>
      <c r="M144" s="154"/>
      <c r="N144" s="154"/>
      <c r="O144" s="153"/>
      <c r="P144" s="161"/>
      <c r="R144" s="129"/>
      <c r="S144" s="129"/>
      <c r="T144" s="129"/>
      <c r="U144" s="129"/>
      <c r="V144" s="170"/>
      <c r="W144" s="129"/>
      <c r="X144" s="129"/>
      <c r="Y144" s="129"/>
      <c r="Z144" s="168"/>
      <c r="AA144" s="129"/>
      <c r="AB144" s="129"/>
      <c r="AC144" s="129"/>
      <c r="AD144" s="129"/>
      <c r="AE144" s="129"/>
      <c r="AF144" s="129"/>
    </row>
    <row r="145" spans="1:32" ht="63" outlineLevel="1" x14ac:dyDescent="0.2">
      <c r="A145" s="305"/>
      <c r="B145" s="5" t="s">
        <v>398</v>
      </c>
      <c r="C145" s="2" t="s">
        <v>311</v>
      </c>
      <c r="D145" s="3" t="s">
        <v>12</v>
      </c>
      <c r="E145" s="17">
        <v>900</v>
      </c>
      <c r="F145" s="4" t="s">
        <v>215</v>
      </c>
      <c r="G145" s="146"/>
      <c r="H145" s="154"/>
      <c r="I145" s="154"/>
      <c r="J145" s="154"/>
      <c r="K145" s="154"/>
      <c r="L145" s="154"/>
      <c r="M145" s="154"/>
      <c r="N145" s="154"/>
      <c r="O145" s="153"/>
      <c r="P145" s="161"/>
      <c r="R145" s="129"/>
      <c r="S145" s="129"/>
      <c r="T145" s="129"/>
      <c r="U145" s="129"/>
      <c r="V145" s="170"/>
      <c r="W145" s="129"/>
      <c r="X145" s="129"/>
      <c r="Y145" s="129"/>
      <c r="Z145" s="168"/>
      <c r="AA145" s="129"/>
      <c r="AB145" s="129"/>
      <c r="AC145" s="129"/>
      <c r="AD145" s="129"/>
      <c r="AE145" s="129"/>
      <c r="AF145" s="129"/>
    </row>
    <row r="146" spans="1:32" ht="63" outlineLevel="1" x14ac:dyDescent="0.2">
      <c r="A146" s="3">
        <v>4</v>
      </c>
      <c r="B146" s="88" t="s">
        <v>219</v>
      </c>
      <c r="C146" s="126"/>
      <c r="D146" s="188" t="s">
        <v>549</v>
      </c>
      <c r="E146" s="128">
        <v>800</v>
      </c>
      <c r="F146" s="4" t="s">
        <v>215</v>
      </c>
      <c r="G146" s="146"/>
      <c r="H146" s="154"/>
      <c r="I146" s="154"/>
      <c r="J146" s="154">
        <v>30000</v>
      </c>
      <c r="K146" s="154">
        <v>75000</v>
      </c>
      <c r="L146" s="154">
        <v>60000</v>
      </c>
      <c r="M146" s="154">
        <v>120000</v>
      </c>
      <c r="N146" s="154">
        <v>60000</v>
      </c>
      <c r="O146" s="153">
        <v>45000</v>
      </c>
      <c r="P146" s="161">
        <v>60000</v>
      </c>
      <c r="R146" s="129"/>
      <c r="S146" s="129"/>
      <c r="T146" s="129"/>
      <c r="U146" s="129"/>
      <c r="V146" s="170"/>
      <c r="W146" s="129"/>
      <c r="X146" s="129"/>
      <c r="Y146" s="129"/>
      <c r="Z146" s="168"/>
      <c r="AA146" s="129"/>
      <c r="AB146" s="129"/>
      <c r="AC146" s="129"/>
      <c r="AD146" s="129"/>
      <c r="AE146" s="129"/>
      <c r="AF146" s="129"/>
    </row>
    <row r="147" spans="1:32" ht="38.25" customHeight="1" outlineLevel="1" x14ac:dyDescent="0.2">
      <c r="A147" s="3">
        <v>5</v>
      </c>
      <c r="B147" s="81" t="s">
        <v>219</v>
      </c>
      <c r="C147" s="126"/>
      <c r="D147" s="188" t="s">
        <v>550</v>
      </c>
      <c r="E147" s="128">
        <v>700</v>
      </c>
      <c r="F147" s="4" t="s">
        <v>215</v>
      </c>
      <c r="G147" s="146"/>
      <c r="H147" s="154"/>
      <c r="I147" s="154"/>
      <c r="J147" s="154"/>
      <c r="K147" s="154"/>
      <c r="L147" s="154"/>
      <c r="M147" s="154"/>
      <c r="N147" s="154"/>
      <c r="O147" s="153"/>
      <c r="P147" s="153"/>
      <c r="R147" s="129"/>
      <c r="S147" s="129"/>
      <c r="T147" s="129"/>
      <c r="U147" s="129"/>
      <c r="V147" s="170"/>
      <c r="W147" s="129"/>
      <c r="X147" s="129"/>
      <c r="Y147" s="129"/>
      <c r="Z147" s="168"/>
      <c r="AA147" s="129"/>
      <c r="AB147" s="129"/>
      <c r="AC147" s="129"/>
      <c r="AD147" s="129"/>
      <c r="AE147" s="129"/>
      <c r="AF147" s="129"/>
    </row>
    <row r="148" spans="1:32" ht="28.5" customHeight="1" outlineLevel="1" x14ac:dyDescent="0.2">
      <c r="A148" s="3">
        <v>6</v>
      </c>
      <c r="B148" s="81"/>
      <c r="C148" s="2" t="s">
        <v>312</v>
      </c>
      <c r="D148" s="3" t="s">
        <v>12</v>
      </c>
      <c r="E148" s="17">
        <v>1100</v>
      </c>
      <c r="F148" s="4" t="s">
        <v>216</v>
      </c>
      <c r="G148" s="146"/>
      <c r="H148" s="153">
        <f>550+1600</f>
        <v>2150</v>
      </c>
      <c r="I148" s="154">
        <v>500</v>
      </c>
      <c r="J148" s="154"/>
      <c r="K148" s="154"/>
      <c r="L148" s="154"/>
      <c r="M148" s="154"/>
      <c r="N148" s="154">
        <v>1000</v>
      </c>
      <c r="O148" s="153">
        <v>500</v>
      </c>
      <c r="P148" s="153"/>
      <c r="R148" s="129"/>
      <c r="S148" s="129"/>
      <c r="T148" s="129"/>
      <c r="U148" s="129"/>
      <c r="V148" s="170"/>
      <c r="W148" s="129"/>
      <c r="X148" s="129"/>
      <c r="Y148" s="129"/>
      <c r="Z148" s="168"/>
      <c r="AA148" s="129"/>
      <c r="AB148" s="129"/>
      <c r="AC148" s="129"/>
      <c r="AD148" s="129"/>
      <c r="AE148" s="129"/>
      <c r="AF148" s="129"/>
    </row>
    <row r="149" spans="1:32" ht="63" outlineLevel="1" x14ac:dyDescent="0.2">
      <c r="A149" s="3">
        <v>7</v>
      </c>
      <c r="B149" s="81" t="s">
        <v>174</v>
      </c>
      <c r="C149" s="200"/>
      <c r="D149" s="188" t="s">
        <v>549</v>
      </c>
      <c r="E149" s="128">
        <v>1000</v>
      </c>
      <c r="F149" s="4" t="s">
        <v>216</v>
      </c>
      <c r="G149" s="146"/>
      <c r="H149" s="153">
        <v>10000</v>
      </c>
      <c r="I149" s="154">
        <v>19200</v>
      </c>
      <c r="J149" s="154">
        <v>3800</v>
      </c>
      <c r="K149" s="154">
        <v>14650</v>
      </c>
      <c r="L149" s="154">
        <v>10750</v>
      </c>
      <c r="M149" s="154">
        <v>11800</v>
      </c>
      <c r="N149" s="154">
        <v>10750</v>
      </c>
      <c r="O149" s="153">
        <v>5750</v>
      </c>
      <c r="P149" s="153">
        <v>7000</v>
      </c>
      <c r="R149" s="129"/>
      <c r="S149" s="129"/>
      <c r="T149" s="129"/>
      <c r="U149" s="129"/>
      <c r="V149" s="170"/>
      <c r="W149" s="129"/>
      <c r="X149" s="129"/>
      <c r="Y149" s="129"/>
      <c r="Z149" s="168"/>
      <c r="AA149" s="129"/>
      <c r="AB149" s="129"/>
      <c r="AC149" s="129"/>
      <c r="AD149" s="129"/>
      <c r="AE149" s="129"/>
      <c r="AF149" s="129"/>
    </row>
    <row r="150" spans="1:32" ht="63" outlineLevel="1" x14ac:dyDescent="0.2">
      <c r="A150" s="3">
        <v>8</v>
      </c>
      <c r="B150" s="81" t="s">
        <v>175</v>
      </c>
      <c r="C150" s="200"/>
      <c r="D150" s="188" t="s">
        <v>550</v>
      </c>
      <c r="E150" s="128">
        <v>950</v>
      </c>
      <c r="F150" s="4" t="s">
        <v>216</v>
      </c>
      <c r="G150" s="146"/>
      <c r="H150" s="153"/>
      <c r="I150" s="154">
        <v>2600</v>
      </c>
      <c r="J150" s="154">
        <v>2400</v>
      </c>
      <c r="K150" s="154">
        <v>2050</v>
      </c>
      <c r="L150" s="154">
        <v>550</v>
      </c>
      <c r="M150" s="154">
        <v>250</v>
      </c>
      <c r="N150" s="154">
        <v>250</v>
      </c>
      <c r="O150" s="153"/>
      <c r="P150" s="153"/>
      <c r="R150" s="129"/>
      <c r="S150" s="129"/>
      <c r="T150" s="129"/>
      <c r="U150" s="129"/>
      <c r="V150" s="170"/>
      <c r="W150" s="129"/>
      <c r="X150" s="129"/>
      <c r="Y150" s="129"/>
      <c r="Z150" s="168"/>
      <c r="AA150" s="129"/>
      <c r="AB150" s="129"/>
      <c r="AC150" s="129"/>
      <c r="AD150" s="129"/>
      <c r="AE150" s="129"/>
      <c r="AF150" s="129"/>
    </row>
    <row r="151" spans="1:32" ht="47.25" outlineLevel="1" x14ac:dyDescent="0.25">
      <c r="A151" s="3">
        <v>9</v>
      </c>
      <c r="B151" s="81" t="s">
        <v>177</v>
      </c>
      <c r="C151" s="40" t="s">
        <v>324</v>
      </c>
      <c r="D151" s="3" t="s">
        <v>12</v>
      </c>
      <c r="E151" s="17">
        <v>600</v>
      </c>
      <c r="F151" s="4" t="s">
        <v>313</v>
      </c>
      <c r="G151" s="146"/>
      <c r="H151" s="153">
        <v>3300</v>
      </c>
      <c r="I151" s="154"/>
      <c r="J151" s="154"/>
      <c r="K151" s="154"/>
      <c r="L151" s="154">
        <f>1800+300</f>
        <v>2100</v>
      </c>
      <c r="M151" s="154">
        <v>600</v>
      </c>
      <c r="N151" s="154">
        <v>2700</v>
      </c>
      <c r="O151" s="153">
        <v>1200</v>
      </c>
      <c r="P151" s="153">
        <v>2400</v>
      </c>
      <c r="R151" s="129"/>
      <c r="S151" s="129"/>
      <c r="T151" s="129"/>
      <c r="U151" s="129"/>
      <c r="V151" s="170"/>
      <c r="W151" s="129"/>
      <c r="X151" s="129"/>
      <c r="Y151" s="129"/>
      <c r="Z151" s="168"/>
      <c r="AA151" s="129"/>
      <c r="AB151" s="129"/>
      <c r="AC151" s="129"/>
      <c r="AD151" s="129"/>
      <c r="AE151" s="129"/>
      <c r="AF151" s="129"/>
    </row>
    <row r="152" spans="1:32" outlineLevel="1" x14ac:dyDescent="0.25">
      <c r="A152" s="3">
        <v>10</v>
      </c>
      <c r="B152" s="81" t="s">
        <v>173</v>
      </c>
      <c r="C152" s="40"/>
      <c r="D152" s="188" t="s">
        <v>549</v>
      </c>
      <c r="E152" s="128">
        <v>550</v>
      </c>
      <c r="F152" s="4" t="s">
        <v>313</v>
      </c>
      <c r="G152" s="146"/>
      <c r="H152" s="153">
        <v>40030</v>
      </c>
      <c r="I152" s="154">
        <f>103530+1610</f>
        <v>105140</v>
      </c>
      <c r="J152" s="154">
        <f>62230+8740</f>
        <v>70970</v>
      </c>
      <c r="K152" s="154">
        <f>61880+1620</f>
        <v>63500</v>
      </c>
      <c r="L152" s="154">
        <v>73500</v>
      </c>
      <c r="M152" s="154">
        <f>54570+270</f>
        <v>54840</v>
      </c>
      <c r="N152" s="154">
        <f>82800+810</f>
        <v>83610</v>
      </c>
      <c r="O152" s="153">
        <f>78900+1890</f>
        <v>80790</v>
      </c>
      <c r="P152" s="161">
        <f>2700+78900</f>
        <v>81600</v>
      </c>
      <c r="R152" s="129"/>
      <c r="S152" s="129"/>
      <c r="T152" s="129"/>
      <c r="U152" s="129"/>
      <c r="V152" s="170"/>
      <c r="W152" s="129"/>
      <c r="X152" s="129"/>
      <c r="Y152" s="129"/>
      <c r="Z152" s="168"/>
      <c r="AA152" s="129"/>
      <c r="AB152" s="129"/>
      <c r="AC152" s="129"/>
      <c r="AD152" s="129"/>
      <c r="AE152" s="129"/>
      <c r="AF152" s="129"/>
    </row>
    <row r="153" spans="1:32" ht="40.5" customHeight="1" outlineLevel="1" x14ac:dyDescent="0.25">
      <c r="A153" s="3">
        <v>13</v>
      </c>
      <c r="B153" s="81" t="s">
        <v>174</v>
      </c>
      <c r="C153" s="40"/>
      <c r="D153" s="188" t="s">
        <v>550</v>
      </c>
      <c r="E153" s="128">
        <v>500</v>
      </c>
      <c r="F153" s="4" t="s">
        <v>313</v>
      </c>
      <c r="G153" s="201"/>
      <c r="H153" s="306" t="s">
        <v>472</v>
      </c>
      <c r="I153" s="146"/>
      <c r="J153" s="153"/>
      <c r="K153" s="154"/>
      <c r="L153" s="154"/>
      <c r="M153" s="154"/>
      <c r="N153" s="154"/>
      <c r="O153" s="154"/>
      <c r="P153" s="154"/>
      <c r="Q153" s="153"/>
      <c r="R153" s="153"/>
      <c r="T153" s="129"/>
      <c r="U153" s="129"/>
      <c r="V153" s="129"/>
      <c r="W153" s="129"/>
      <c r="X153" s="170"/>
      <c r="Y153" s="129"/>
      <c r="Z153" s="129"/>
      <c r="AA153" s="129"/>
      <c r="AB153" s="168"/>
      <c r="AC153" s="129"/>
      <c r="AD153" s="129"/>
      <c r="AE153" s="129"/>
      <c r="AF153" s="129"/>
    </row>
    <row r="154" spans="1:32" ht="63" customHeight="1" outlineLevel="1" x14ac:dyDescent="0.2">
      <c r="A154" s="3">
        <v>14</v>
      </c>
      <c r="B154" s="81" t="s">
        <v>174</v>
      </c>
      <c r="C154" s="50" t="s">
        <v>326</v>
      </c>
      <c r="D154" s="3" t="s">
        <v>12</v>
      </c>
      <c r="E154" s="17">
        <v>200</v>
      </c>
      <c r="F154" s="4" t="s">
        <v>453</v>
      </c>
      <c r="G154" s="202"/>
      <c r="H154" s="307"/>
      <c r="I154" s="146"/>
      <c r="J154" s="153">
        <v>2700</v>
      </c>
      <c r="K154" s="154">
        <v>300</v>
      </c>
      <c r="L154" s="154">
        <v>600</v>
      </c>
      <c r="M154" s="154"/>
      <c r="N154" s="154">
        <v>300</v>
      </c>
      <c r="O154" s="154"/>
      <c r="P154" s="154">
        <v>3000</v>
      </c>
      <c r="Q154" s="153"/>
      <c r="R154" s="153"/>
      <c r="T154" s="129"/>
      <c r="U154" s="129"/>
      <c r="V154" s="129"/>
      <c r="W154" s="129"/>
      <c r="X154" s="170"/>
      <c r="Y154" s="129"/>
      <c r="Z154" s="129"/>
      <c r="AA154" s="129"/>
      <c r="AB154" s="168"/>
      <c r="AC154" s="129"/>
      <c r="AD154" s="129"/>
      <c r="AE154" s="129"/>
      <c r="AF154" s="129"/>
    </row>
    <row r="155" spans="1:32" ht="39" customHeight="1" outlineLevel="1" x14ac:dyDescent="0.2">
      <c r="A155" s="3">
        <v>15</v>
      </c>
      <c r="B155" s="81" t="s">
        <v>174</v>
      </c>
      <c r="C155" s="83" t="s">
        <v>418</v>
      </c>
      <c r="D155" s="3" t="s">
        <v>12</v>
      </c>
      <c r="E155" s="17">
        <v>1200</v>
      </c>
      <c r="F155" s="4" t="s">
        <v>518</v>
      </c>
      <c r="G155" s="202"/>
      <c r="H155" s="307"/>
      <c r="I155" s="146"/>
      <c r="J155" s="153"/>
      <c r="K155" s="154"/>
      <c r="L155" s="154"/>
      <c r="M155" s="154"/>
      <c r="N155" s="154"/>
      <c r="O155" s="154"/>
      <c r="P155" s="154"/>
      <c r="Q155" s="153"/>
      <c r="R155" s="153"/>
      <c r="T155" s="129"/>
      <c r="U155" s="129"/>
      <c r="V155" s="129"/>
      <c r="W155" s="129"/>
      <c r="X155" s="170"/>
      <c r="Y155" s="129"/>
      <c r="Z155" s="129"/>
      <c r="AA155" s="129"/>
      <c r="AB155" s="168"/>
      <c r="AC155" s="129"/>
      <c r="AD155" s="129"/>
      <c r="AE155" s="129"/>
      <c r="AF155" s="129"/>
    </row>
    <row r="156" spans="1:32" ht="15.75" customHeight="1" outlineLevel="1" x14ac:dyDescent="0.2">
      <c r="A156" s="3">
        <v>16</v>
      </c>
      <c r="B156" s="81" t="s">
        <v>190</v>
      </c>
      <c r="C156" s="173"/>
      <c r="D156" s="173"/>
      <c r="E156" s="192"/>
      <c r="F156" s="4" t="s">
        <v>441</v>
      </c>
      <c r="G156" s="202"/>
      <c r="H156" s="307"/>
      <c r="I156" s="146"/>
      <c r="J156" s="153">
        <v>6080</v>
      </c>
      <c r="K156" s="154">
        <v>10640</v>
      </c>
      <c r="L156" s="154"/>
      <c r="M156" s="154">
        <v>2600</v>
      </c>
      <c r="N156" s="154">
        <v>400</v>
      </c>
      <c r="O156" s="154">
        <v>4600</v>
      </c>
      <c r="P156" s="154">
        <v>3200</v>
      </c>
      <c r="Q156" s="153">
        <v>3400</v>
      </c>
      <c r="R156" s="153">
        <v>2800</v>
      </c>
      <c r="T156" s="129"/>
      <c r="U156" s="129"/>
      <c r="V156" s="129"/>
      <c r="W156" s="129"/>
      <c r="X156" s="170"/>
      <c r="Y156" s="129"/>
      <c r="Z156" s="129"/>
      <c r="AA156" s="129"/>
      <c r="AB156" s="168"/>
      <c r="AC156" s="129"/>
      <c r="AD156" s="129"/>
      <c r="AE156" s="129"/>
      <c r="AF156" s="129"/>
    </row>
    <row r="157" spans="1:32" ht="31.5" customHeight="1" outlineLevel="1" x14ac:dyDescent="0.2">
      <c r="A157" s="3">
        <v>17</v>
      </c>
      <c r="B157" s="81" t="s">
        <v>188</v>
      </c>
      <c r="C157" s="50" t="s">
        <v>440</v>
      </c>
      <c r="D157" s="3" t="s">
        <v>556</v>
      </c>
      <c r="E157" s="17">
        <v>800</v>
      </c>
      <c r="F157" s="4" t="s">
        <v>443</v>
      </c>
      <c r="G157" s="202"/>
      <c r="H157" s="307"/>
      <c r="I157" s="146"/>
      <c r="J157" s="153">
        <f>69190+5280</f>
        <v>74470</v>
      </c>
      <c r="K157" s="154">
        <v>50050</v>
      </c>
      <c r="L157" s="154">
        <v>9350</v>
      </c>
      <c r="M157" s="154">
        <f>31900+4400</f>
        <v>36300</v>
      </c>
      <c r="N157" s="154">
        <v>58550</v>
      </c>
      <c r="O157" s="154">
        <v>42900</v>
      </c>
      <c r="P157" s="154">
        <v>66550</v>
      </c>
      <c r="Q157" s="153">
        <v>22550</v>
      </c>
      <c r="R157" s="153">
        <v>37400</v>
      </c>
      <c r="T157" s="129"/>
      <c r="U157" s="129"/>
      <c r="V157" s="129"/>
      <c r="W157" s="129"/>
      <c r="X157" s="170"/>
      <c r="Y157" s="129"/>
      <c r="Z157" s="129"/>
      <c r="AA157" s="129"/>
      <c r="AB157" s="168"/>
      <c r="AC157" s="129"/>
      <c r="AD157" s="129"/>
      <c r="AE157" s="129"/>
      <c r="AF157" s="129"/>
    </row>
    <row r="158" spans="1:32" ht="31.5" outlineLevel="1" x14ac:dyDescent="0.2">
      <c r="A158" s="3">
        <v>18</v>
      </c>
      <c r="B158" s="81" t="s">
        <v>213</v>
      </c>
      <c r="C158" s="50"/>
      <c r="D158" s="188" t="s">
        <v>557</v>
      </c>
      <c r="E158" s="128">
        <v>700</v>
      </c>
      <c r="F158" s="4" t="s">
        <v>443</v>
      </c>
      <c r="G158" s="202"/>
      <c r="H158" s="307"/>
      <c r="I158" s="146"/>
      <c r="J158" s="153"/>
      <c r="K158" s="154">
        <v>5250</v>
      </c>
      <c r="L158" s="154">
        <f>4550+2800</f>
        <v>7350</v>
      </c>
      <c r="M158" s="154">
        <v>2100</v>
      </c>
      <c r="N158" s="154">
        <v>3850</v>
      </c>
      <c r="O158" s="154">
        <v>6300</v>
      </c>
      <c r="P158" s="154">
        <v>5950</v>
      </c>
      <c r="Q158" s="153">
        <v>350</v>
      </c>
      <c r="R158" s="153">
        <v>1750</v>
      </c>
      <c r="T158" s="129"/>
      <c r="U158" s="129"/>
      <c r="V158" s="129"/>
      <c r="W158" s="129"/>
      <c r="X158" s="170"/>
      <c r="Y158" s="129"/>
      <c r="Z158" s="129"/>
      <c r="AA158" s="129"/>
      <c r="AB158" s="168"/>
      <c r="AC158" s="129"/>
      <c r="AD158" s="129"/>
      <c r="AE158" s="129"/>
      <c r="AF158" s="129"/>
    </row>
    <row r="159" spans="1:32" s="102" customFormat="1" ht="31.5" outlineLevel="1" x14ac:dyDescent="0.2">
      <c r="A159" s="109">
        <v>19</v>
      </c>
      <c r="B159" s="114"/>
      <c r="C159" s="50"/>
      <c r="D159" s="188" t="s">
        <v>558</v>
      </c>
      <c r="E159" s="128">
        <v>600</v>
      </c>
      <c r="F159" s="4" t="s">
        <v>443</v>
      </c>
      <c r="G159" s="202"/>
      <c r="H159" s="307"/>
      <c r="I159" s="146"/>
      <c r="J159" s="154"/>
      <c r="K159" s="154"/>
      <c r="L159" s="154"/>
      <c r="M159" s="154"/>
      <c r="N159" s="154"/>
      <c r="O159" s="154">
        <v>1500</v>
      </c>
      <c r="P159" s="154">
        <v>1850</v>
      </c>
      <c r="Q159" s="153">
        <v>1200</v>
      </c>
      <c r="R159" s="153">
        <v>900</v>
      </c>
      <c r="S159" s="125"/>
      <c r="T159" s="129"/>
      <c r="U159" s="129"/>
      <c r="V159" s="129"/>
      <c r="W159" s="129"/>
      <c r="X159" s="170"/>
      <c r="Y159" s="129"/>
      <c r="Z159" s="129"/>
      <c r="AA159" s="129"/>
      <c r="AB159" s="168"/>
      <c r="AC159" s="129"/>
      <c r="AD159" s="129"/>
      <c r="AE159" s="129"/>
      <c r="AF159" s="129"/>
    </row>
    <row r="160" spans="1:32" s="102" customFormat="1" ht="31.5" customHeight="1" outlineLevel="1" x14ac:dyDescent="0.2">
      <c r="A160" s="109">
        <v>20</v>
      </c>
      <c r="B160" s="114"/>
      <c r="C160" s="50" t="s">
        <v>440</v>
      </c>
      <c r="D160" s="3" t="s">
        <v>556</v>
      </c>
      <c r="E160" s="17">
        <v>700</v>
      </c>
      <c r="F160" s="4" t="s">
        <v>443</v>
      </c>
      <c r="G160" s="202"/>
      <c r="H160" s="307"/>
      <c r="I160" s="146"/>
      <c r="J160" s="154"/>
      <c r="K160" s="154"/>
      <c r="L160" s="154"/>
      <c r="M160" s="154"/>
      <c r="N160" s="154"/>
      <c r="O160" s="154"/>
      <c r="P160" s="154"/>
      <c r="Q160" s="153">
        <v>3300</v>
      </c>
      <c r="R160" s="153">
        <v>7040</v>
      </c>
      <c r="S160" s="125"/>
      <c r="T160" s="129"/>
      <c r="U160" s="129"/>
      <c r="V160" s="129"/>
      <c r="W160" s="129"/>
      <c r="X160" s="170"/>
      <c r="Y160" s="129"/>
      <c r="Z160" s="129"/>
      <c r="AA160" s="129"/>
      <c r="AB160" s="168"/>
      <c r="AC160" s="129"/>
      <c r="AD160" s="129"/>
      <c r="AE160" s="129"/>
      <c r="AF160" s="129"/>
    </row>
    <row r="161" spans="1:32" s="102" customFormat="1" ht="31.5" outlineLevel="1" x14ac:dyDescent="0.2">
      <c r="A161" s="109">
        <v>21</v>
      </c>
      <c r="B161" s="114"/>
      <c r="C161" s="50"/>
      <c r="D161" s="188" t="s">
        <v>564</v>
      </c>
      <c r="E161" s="128">
        <v>600</v>
      </c>
      <c r="F161" s="4" t="s">
        <v>443</v>
      </c>
      <c r="G161" s="202"/>
      <c r="H161" s="307"/>
      <c r="I161" s="146"/>
      <c r="J161" s="154"/>
      <c r="K161" s="154"/>
      <c r="L161" s="154"/>
      <c r="M161" s="154"/>
      <c r="N161" s="154"/>
      <c r="O161" s="154"/>
      <c r="P161" s="154"/>
      <c r="Q161" s="153"/>
      <c r="R161" s="153"/>
      <c r="S161" s="125"/>
      <c r="T161" s="129"/>
      <c r="U161" s="129"/>
      <c r="V161" s="129"/>
      <c r="W161" s="129"/>
      <c r="X161" s="170"/>
      <c r="Y161" s="129"/>
      <c r="Z161" s="129"/>
      <c r="AA161" s="129"/>
      <c r="AB161" s="168"/>
      <c r="AC161" s="129"/>
      <c r="AD161" s="129"/>
      <c r="AE161" s="129"/>
      <c r="AF161" s="129"/>
    </row>
    <row r="162" spans="1:32" s="102" customFormat="1" ht="31.5" outlineLevel="1" x14ac:dyDescent="0.2">
      <c r="A162" s="109">
        <v>22</v>
      </c>
      <c r="B162" s="114"/>
      <c r="C162" s="50"/>
      <c r="D162" s="3" t="s">
        <v>557</v>
      </c>
      <c r="E162" s="17">
        <v>500</v>
      </c>
      <c r="F162" s="4" t="s">
        <v>443</v>
      </c>
      <c r="G162" s="202"/>
      <c r="H162" s="307"/>
      <c r="I162" s="146"/>
      <c r="J162" s="154"/>
      <c r="K162" s="154"/>
      <c r="L162" s="154"/>
      <c r="M162" s="154"/>
      <c r="N162" s="154">
        <v>150</v>
      </c>
      <c r="O162" s="154">
        <f>750</f>
        <v>750</v>
      </c>
      <c r="P162" s="154">
        <f>450</f>
        <v>450</v>
      </c>
      <c r="Q162" s="153"/>
      <c r="R162" s="153">
        <v>300</v>
      </c>
      <c r="S162" s="125"/>
      <c r="T162" s="129"/>
      <c r="U162" s="129"/>
      <c r="V162" s="129"/>
      <c r="W162" s="129"/>
      <c r="X162" s="170"/>
      <c r="Y162" s="129"/>
      <c r="Z162" s="129"/>
      <c r="AA162" s="129"/>
      <c r="AB162" s="168"/>
      <c r="AC162" s="129"/>
      <c r="AD162" s="129"/>
      <c r="AE162" s="129"/>
      <c r="AF162" s="129"/>
    </row>
    <row r="163" spans="1:32" s="102" customFormat="1" ht="31.5" customHeight="1" outlineLevel="1" x14ac:dyDescent="0.2">
      <c r="A163" s="109">
        <v>23</v>
      </c>
      <c r="B163" s="114"/>
      <c r="C163" s="50" t="s">
        <v>562</v>
      </c>
      <c r="D163" s="106" t="s">
        <v>559</v>
      </c>
      <c r="E163" s="17">
        <v>750</v>
      </c>
      <c r="F163" s="202" t="s">
        <v>563</v>
      </c>
      <c r="G163" s="203"/>
      <c r="H163" s="308"/>
      <c r="I163" s="146"/>
      <c r="J163" s="154"/>
      <c r="K163" s="154"/>
      <c r="L163" s="154"/>
      <c r="M163" s="154"/>
      <c r="N163" s="154">
        <v>150</v>
      </c>
      <c r="O163" s="154">
        <f>750</f>
        <v>750</v>
      </c>
      <c r="P163" s="154"/>
      <c r="Q163" s="153"/>
      <c r="R163" s="153">
        <v>150</v>
      </c>
      <c r="S163" s="125"/>
      <c r="T163" s="129"/>
      <c r="U163" s="129"/>
      <c r="V163" s="129"/>
      <c r="W163" s="129"/>
      <c r="X163" s="170"/>
      <c r="Y163" s="129"/>
      <c r="Z163" s="129"/>
      <c r="AA163" s="129"/>
      <c r="AB163" s="168"/>
      <c r="AC163" s="129"/>
      <c r="AD163" s="129"/>
      <c r="AE163" s="129"/>
      <c r="AF163" s="129"/>
    </row>
    <row r="164" spans="1:32" s="125" customFormat="1" ht="31.5" outlineLevel="1" x14ac:dyDescent="0.2">
      <c r="A164" s="135">
        <v>24</v>
      </c>
      <c r="B164" s="138"/>
      <c r="C164" s="50"/>
      <c r="D164" s="188" t="s">
        <v>560</v>
      </c>
      <c r="E164" s="128">
        <v>700</v>
      </c>
      <c r="F164" s="202" t="s">
        <v>563</v>
      </c>
      <c r="G164" s="146"/>
      <c r="H164" s="154"/>
      <c r="I164" s="154"/>
      <c r="J164" s="154"/>
      <c r="K164" s="154"/>
      <c r="L164" s="154">
        <v>3850</v>
      </c>
      <c r="M164" s="154">
        <f>21350+315</f>
        <v>21665</v>
      </c>
      <c r="N164" s="154">
        <v>9450</v>
      </c>
      <c r="O164" s="153">
        <v>5600</v>
      </c>
      <c r="P164" s="153">
        <f>630+16450</f>
        <v>17080</v>
      </c>
      <c r="R164" s="129"/>
      <c r="S164" s="129"/>
      <c r="T164" s="129"/>
      <c r="U164" s="129"/>
      <c r="V164" s="170"/>
      <c r="W164" s="129"/>
      <c r="X164" s="129"/>
      <c r="Y164" s="129"/>
      <c r="Z164" s="168"/>
      <c r="AA164" s="129"/>
      <c r="AB164" s="129"/>
      <c r="AC164" s="129"/>
      <c r="AD164" s="129"/>
      <c r="AE164" s="129"/>
      <c r="AF164" s="129"/>
    </row>
    <row r="165" spans="1:32" s="125" customFormat="1" ht="31.5" outlineLevel="1" x14ac:dyDescent="0.2">
      <c r="A165" s="135">
        <v>25</v>
      </c>
      <c r="B165" s="137"/>
      <c r="C165" s="50"/>
      <c r="D165" s="188" t="s">
        <v>561</v>
      </c>
      <c r="E165" s="128">
        <v>650</v>
      </c>
      <c r="F165" s="202" t="s">
        <v>563</v>
      </c>
      <c r="G165" s="146"/>
      <c r="H165" s="154"/>
      <c r="I165" s="154"/>
      <c r="J165" s="154"/>
      <c r="K165" s="154"/>
      <c r="L165" s="154"/>
      <c r="M165" s="154"/>
      <c r="N165" s="154"/>
      <c r="O165" s="153"/>
      <c r="P165" s="153"/>
      <c r="R165" s="129"/>
      <c r="S165" s="129"/>
      <c r="T165" s="129"/>
      <c r="U165" s="129"/>
      <c r="V165" s="170"/>
      <c r="W165" s="129"/>
      <c r="X165" s="129"/>
      <c r="Y165" s="129"/>
      <c r="Z165" s="168"/>
      <c r="AA165" s="129"/>
      <c r="AB165" s="129"/>
      <c r="AC165" s="129"/>
      <c r="AD165" s="129"/>
      <c r="AE165" s="129"/>
      <c r="AF165" s="129"/>
    </row>
    <row r="166" spans="1:32" s="125" customFormat="1" ht="23.25" outlineLevel="1" x14ac:dyDescent="0.2">
      <c r="A166" s="135">
        <v>26</v>
      </c>
      <c r="B166" s="137"/>
      <c r="C166" s="183"/>
      <c r="D166" s="183"/>
      <c r="E166" s="183"/>
      <c r="F166" s="183"/>
      <c r="G166" s="146"/>
      <c r="H166" s="154"/>
      <c r="I166" s="154"/>
      <c r="J166" s="154"/>
      <c r="K166" s="154"/>
      <c r="L166" s="154"/>
      <c r="M166" s="154"/>
      <c r="N166" s="154"/>
      <c r="O166" s="153">
        <v>100</v>
      </c>
      <c r="P166" s="153">
        <v>-100</v>
      </c>
      <c r="R166" s="129"/>
      <c r="S166" s="129"/>
      <c r="T166" s="129"/>
      <c r="U166" s="129"/>
      <c r="V166" s="170"/>
      <c r="W166" s="129"/>
      <c r="X166" s="129"/>
      <c r="Y166" s="129"/>
      <c r="Z166" s="168"/>
      <c r="AA166" s="129"/>
      <c r="AB166" s="129"/>
      <c r="AC166" s="129"/>
      <c r="AD166" s="129"/>
      <c r="AE166" s="129"/>
      <c r="AF166" s="129"/>
    </row>
    <row r="167" spans="1:32" ht="31.5" outlineLevel="1" x14ac:dyDescent="0.2">
      <c r="A167" s="135">
        <v>27</v>
      </c>
      <c r="B167" s="93"/>
      <c r="C167" s="208" t="s">
        <v>577</v>
      </c>
      <c r="D167" s="208" t="s">
        <v>12</v>
      </c>
      <c r="E167" s="208">
        <v>1100</v>
      </c>
      <c r="F167" s="208" t="s">
        <v>582</v>
      </c>
      <c r="G167" s="146"/>
      <c r="H167" s="154"/>
      <c r="I167" s="154"/>
      <c r="J167" s="154"/>
      <c r="K167" s="154"/>
      <c r="L167" s="154"/>
      <c r="M167" s="154"/>
      <c r="N167" s="154"/>
      <c r="O167" s="153"/>
      <c r="P167" s="153"/>
      <c r="R167" s="129"/>
      <c r="S167" s="129"/>
      <c r="T167" s="129"/>
      <c r="U167" s="129"/>
      <c r="V167" s="170"/>
      <c r="W167" s="129"/>
      <c r="X167" s="129"/>
      <c r="Y167" s="129"/>
      <c r="Z167" s="168"/>
      <c r="AA167" s="129"/>
      <c r="AB167" s="129"/>
      <c r="AC167" s="129"/>
      <c r="AD167" s="129"/>
      <c r="AE167" s="129"/>
      <c r="AF167" s="129"/>
    </row>
    <row r="168" spans="1:32" ht="31.5" x14ac:dyDescent="0.2">
      <c r="A168" s="176" t="s">
        <v>334</v>
      </c>
      <c r="B168" s="177"/>
      <c r="C168" s="209"/>
      <c r="D168" s="208" t="s">
        <v>549</v>
      </c>
      <c r="E168" s="208">
        <v>1000</v>
      </c>
      <c r="F168" s="208" t="s">
        <v>582</v>
      </c>
      <c r="G168" s="146"/>
      <c r="H168" s="154"/>
      <c r="I168" s="154"/>
      <c r="J168" s="154"/>
      <c r="K168" s="154"/>
      <c r="L168" s="154"/>
      <c r="M168" s="154"/>
      <c r="N168" s="154"/>
      <c r="O168" s="153"/>
      <c r="P168" s="153"/>
      <c r="R168" s="129"/>
      <c r="S168" s="129"/>
      <c r="T168" s="129"/>
      <c r="U168" s="129"/>
      <c r="V168" s="170"/>
      <c r="W168" s="129"/>
      <c r="X168" s="129"/>
      <c r="Y168" s="129"/>
      <c r="Z168" s="168"/>
      <c r="AA168" s="129"/>
      <c r="AB168" s="129"/>
      <c r="AC168" s="129"/>
      <c r="AD168" s="129"/>
      <c r="AE168" s="129"/>
      <c r="AF168" s="129"/>
    </row>
    <row r="169" spans="1:32" ht="31.5" outlineLevel="1" x14ac:dyDescent="0.2">
      <c r="A169" s="305">
        <v>1</v>
      </c>
      <c r="B169" s="306" t="s">
        <v>219</v>
      </c>
      <c r="C169" s="209"/>
      <c r="D169" s="208" t="s">
        <v>550</v>
      </c>
      <c r="E169" s="208">
        <v>900</v>
      </c>
      <c r="F169" s="208" t="s">
        <v>582</v>
      </c>
      <c r="G169" s="146"/>
      <c r="H169" s="154"/>
      <c r="I169" s="154"/>
      <c r="J169" s="154"/>
      <c r="K169" s="154"/>
      <c r="L169" s="154"/>
      <c r="M169" s="154"/>
      <c r="N169" s="154"/>
      <c r="O169" s="153"/>
      <c r="P169" s="153"/>
      <c r="R169" s="129"/>
      <c r="S169" s="129"/>
      <c r="T169" s="129"/>
      <c r="U169" s="129"/>
      <c r="V169" s="170"/>
      <c r="W169" s="129"/>
      <c r="X169" s="129"/>
      <c r="Y169" s="129"/>
      <c r="Z169" s="168"/>
      <c r="AA169" s="129"/>
      <c r="AB169" s="129"/>
      <c r="AC169" s="129"/>
      <c r="AD169" s="129"/>
      <c r="AE169" s="129"/>
      <c r="AF169" s="129"/>
    </row>
    <row r="170" spans="1:32" ht="37.5" customHeight="1" outlineLevel="1" x14ac:dyDescent="0.2">
      <c r="A170" s="305"/>
      <c r="B170" s="307"/>
      <c r="C170" s="208" t="s">
        <v>578</v>
      </c>
      <c r="D170" s="208" t="s">
        <v>12</v>
      </c>
      <c r="E170" s="208">
        <v>1700</v>
      </c>
      <c r="F170" s="208" t="s">
        <v>582</v>
      </c>
      <c r="G170" s="146"/>
      <c r="H170" s="153">
        <v>48600</v>
      </c>
      <c r="I170" s="154">
        <v>33000</v>
      </c>
      <c r="J170" s="154">
        <v>21000</v>
      </c>
      <c r="K170" s="154">
        <v>31100</v>
      </c>
      <c r="L170" s="154">
        <v>30000</v>
      </c>
      <c r="M170" s="154">
        <v>27000</v>
      </c>
      <c r="N170" s="154">
        <v>39600</v>
      </c>
      <c r="O170" s="153">
        <v>31200</v>
      </c>
      <c r="P170" s="161">
        <v>23000</v>
      </c>
      <c r="R170" s="129"/>
      <c r="S170" s="129"/>
      <c r="T170" s="129"/>
      <c r="U170" s="129"/>
      <c r="V170" s="170"/>
      <c r="W170" s="129"/>
      <c r="X170" s="129"/>
      <c r="Y170" s="129"/>
      <c r="Z170" s="168"/>
      <c r="AA170" s="129"/>
      <c r="AB170" s="129"/>
      <c r="AC170" s="129"/>
      <c r="AD170" s="129"/>
      <c r="AE170" s="129"/>
      <c r="AF170" s="129"/>
    </row>
    <row r="171" spans="1:32" ht="17.25" customHeight="1" outlineLevel="1" x14ac:dyDescent="0.2">
      <c r="A171" s="305"/>
      <c r="B171" s="307"/>
      <c r="C171" s="209"/>
      <c r="D171" s="208" t="s">
        <v>549</v>
      </c>
      <c r="E171" s="208">
        <v>1600</v>
      </c>
      <c r="F171" s="208" t="s">
        <v>582</v>
      </c>
      <c r="G171" s="146"/>
      <c r="H171" s="153">
        <v>59500</v>
      </c>
      <c r="I171" s="154">
        <v>52500</v>
      </c>
      <c r="J171" s="154">
        <v>42000</v>
      </c>
      <c r="K171" s="154">
        <v>47250</v>
      </c>
      <c r="L171" s="154">
        <v>56350</v>
      </c>
      <c r="M171" s="154">
        <v>42000</v>
      </c>
      <c r="N171" s="154">
        <v>49350</v>
      </c>
      <c r="O171" s="153">
        <v>42500</v>
      </c>
      <c r="P171" s="161">
        <v>35350</v>
      </c>
      <c r="R171" s="129"/>
      <c r="S171" s="129"/>
      <c r="T171" s="129"/>
      <c r="U171" s="129"/>
      <c r="V171" s="170"/>
      <c r="W171" s="129"/>
      <c r="X171" s="129"/>
      <c r="Y171" s="129"/>
      <c r="Z171" s="168"/>
      <c r="AA171" s="129"/>
      <c r="AB171" s="129"/>
      <c r="AC171" s="129"/>
      <c r="AD171" s="129"/>
      <c r="AE171" s="129"/>
      <c r="AF171" s="129"/>
    </row>
    <row r="172" spans="1:32" ht="27.75" customHeight="1" outlineLevel="1" x14ac:dyDescent="0.2">
      <c r="A172" s="305"/>
      <c r="B172" s="308"/>
      <c r="C172" s="209"/>
      <c r="D172" s="208" t="s">
        <v>550</v>
      </c>
      <c r="E172" s="208">
        <v>1500</v>
      </c>
      <c r="F172" s="208" t="s">
        <v>582</v>
      </c>
      <c r="G172" s="146"/>
      <c r="H172" s="154"/>
      <c r="I172" s="154"/>
      <c r="J172" s="154"/>
      <c r="K172" s="154"/>
      <c r="L172" s="154"/>
      <c r="M172" s="154"/>
      <c r="N172" s="154"/>
      <c r="O172" s="153"/>
      <c r="P172" s="161"/>
      <c r="R172" s="129"/>
      <c r="S172" s="129"/>
      <c r="T172" s="129"/>
      <c r="U172" s="129"/>
      <c r="V172" s="170"/>
      <c r="W172" s="129"/>
      <c r="X172" s="129"/>
      <c r="Y172" s="129"/>
      <c r="Z172" s="168"/>
      <c r="AA172" s="129"/>
      <c r="AB172" s="129"/>
      <c r="AC172" s="129"/>
      <c r="AD172" s="129"/>
      <c r="AE172" s="129"/>
      <c r="AF172" s="129"/>
    </row>
    <row r="173" spans="1:32" ht="45.75" customHeight="1" outlineLevel="1" x14ac:dyDescent="0.2">
      <c r="A173" s="305">
        <v>2</v>
      </c>
      <c r="B173" s="306" t="s">
        <v>219</v>
      </c>
      <c r="C173" s="208" t="s">
        <v>579</v>
      </c>
      <c r="D173" s="208" t="s">
        <v>12</v>
      </c>
      <c r="E173" s="208">
        <v>1000</v>
      </c>
      <c r="F173" s="208" t="s">
        <v>583</v>
      </c>
      <c r="G173" s="146"/>
      <c r="H173" s="154"/>
      <c r="I173" s="154"/>
      <c r="J173" s="154"/>
      <c r="K173" s="154"/>
      <c r="L173" s="154"/>
      <c r="M173" s="154"/>
      <c r="N173" s="154"/>
      <c r="O173" s="153"/>
      <c r="P173" s="161"/>
      <c r="R173" s="129"/>
      <c r="S173" s="129"/>
      <c r="T173" s="129"/>
      <c r="U173" s="129"/>
      <c r="V173" s="170"/>
      <c r="W173" s="129"/>
      <c r="X173" s="129"/>
      <c r="Y173" s="129"/>
      <c r="Z173" s="168"/>
      <c r="AA173" s="129"/>
      <c r="AB173" s="129"/>
      <c r="AC173" s="129"/>
      <c r="AD173" s="129"/>
      <c r="AE173" s="129"/>
      <c r="AF173" s="129"/>
    </row>
    <row r="174" spans="1:32" ht="21.75" customHeight="1" outlineLevel="1" x14ac:dyDescent="0.2">
      <c r="A174" s="305"/>
      <c r="B174" s="307"/>
      <c r="C174" s="208" t="s">
        <v>580</v>
      </c>
      <c r="D174" s="208" t="s">
        <v>12</v>
      </c>
      <c r="E174" s="208">
        <v>1000</v>
      </c>
      <c r="F174" s="208" t="s">
        <v>584</v>
      </c>
      <c r="G174" s="146"/>
      <c r="H174" s="153">
        <v>35000</v>
      </c>
      <c r="I174" s="154">
        <v>36050</v>
      </c>
      <c r="J174" s="154">
        <f>31850+280</f>
        <v>32130</v>
      </c>
      <c r="K174" s="154">
        <v>31850</v>
      </c>
      <c r="L174" s="154">
        <v>18550</v>
      </c>
      <c r="M174" s="154">
        <v>12950</v>
      </c>
      <c r="N174" s="154">
        <v>14000</v>
      </c>
      <c r="O174" s="153">
        <v>14350</v>
      </c>
      <c r="P174" s="161">
        <v>24850</v>
      </c>
      <c r="R174" s="129"/>
      <c r="S174" s="129"/>
      <c r="T174" s="129"/>
      <c r="U174" s="129"/>
      <c r="V174" s="170"/>
      <c r="W174" s="129"/>
      <c r="X174" s="129"/>
      <c r="Y174" s="129"/>
      <c r="Z174" s="168"/>
      <c r="AA174" s="129"/>
      <c r="AB174" s="129"/>
      <c r="AC174" s="129"/>
      <c r="AD174" s="129"/>
      <c r="AE174" s="129"/>
      <c r="AF174" s="129"/>
    </row>
    <row r="175" spans="1:32" ht="17.25" customHeight="1" outlineLevel="1" x14ac:dyDescent="0.2">
      <c r="A175" s="305"/>
      <c r="B175" s="307"/>
      <c r="C175" s="208" t="s">
        <v>581</v>
      </c>
      <c r="D175" s="208" t="s">
        <v>12</v>
      </c>
      <c r="E175" s="208">
        <v>1000</v>
      </c>
      <c r="F175" s="208" t="s">
        <v>585</v>
      </c>
      <c r="G175" s="146"/>
      <c r="H175" s="153">
        <f>25900+4000</f>
        <v>29900</v>
      </c>
      <c r="I175" s="154">
        <f>17600+2520</f>
        <v>20120</v>
      </c>
      <c r="J175" s="154">
        <v>22000</v>
      </c>
      <c r="K175" s="154">
        <v>28000</v>
      </c>
      <c r="L175" s="154">
        <v>16800</v>
      </c>
      <c r="M175" s="154">
        <v>7600</v>
      </c>
      <c r="N175" s="154">
        <v>9200</v>
      </c>
      <c r="O175" s="153">
        <v>14400</v>
      </c>
      <c r="P175" s="161">
        <v>15560</v>
      </c>
      <c r="R175" s="129"/>
      <c r="S175" s="129"/>
      <c r="T175" s="129"/>
      <c r="U175" s="129"/>
      <c r="V175" s="170"/>
      <c r="W175" s="129"/>
      <c r="X175" s="129"/>
      <c r="Y175" s="129"/>
      <c r="Z175" s="168"/>
      <c r="AA175" s="129"/>
      <c r="AB175" s="129"/>
      <c r="AC175" s="129"/>
      <c r="AD175" s="129"/>
      <c r="AE175" s="129"/>
      <c r="AF175" s="129"/>
    </row>
    <row r="176" spans="1:32" ht="27" customHeight="1" outlineLevel="1" x14ac:dyDescent="0.2">
      <c r="A176" s="305"/>
      <c r="B176" s="308"/>
      <c r="C176" s="2" t="s">
        <v>568</v>
      </c>
      <c r="D176" s="3" t="s">
        <v>12</v>
      </c>
      <c r="E176" s="17">
        <v>1600</v>
      </c>
      <c r="F176" s="4" t="s">
        <v>316</v>
      </c>
      <c r="G176" s="146"/>
      <c r="H176" s="154"/>
      <c r="I176" s="154"/>
      <c r="J176" s="154"/>
      <c r="K176" s="154"/>
      <c r="L176" s="154"/>
      <c r="M176" s="154"/>
      <c r="N176" s="154"/>
      <c r="O176" s="153"/>
      <c r="P176" s="153"/>
      <c r="R176" s="129"/>
      <c r="S176" s="129"/>
      <c r="T176" s="129"/>
      <c r="U176" s="129"/>
      <c r="V176" s="170"/>
      <c r="W176" s="129"/>
      <c r="X176" s="129"/>
      <c r="Y176" s="129"/>
      <c r="Z176" s="168"/>
      <c r="AA176" s="129"/>
      <c r="AB176" s="129"/>
      <c r="AC176" s="129"/>
      <c r="AD176" s="129"/>
      <c r="AE176" s="129"/>
      <c r="AF176" s="129"/>
    </row>
    <row r="177" spans="1:32" ht="20.25" customHeight="1" outlineLevel="1" x14ac:dyDescent="0.2">
      <c r="A177" s="189" t="s">
        <v>331</v>
      </c>
      <c r="B177" s="190"/>
      <c r="C177" s="126"/>
      <c r="D177" s="188" t="s">
        <v>549</v>
      </c>
      <c r="E177" s="128">
        <v>1300</v>
      </c>
      <c r="F177" s="4" t="s">
        <v>316</v>
      </c>
      <c r="G177" s="146"/>
      <c r="H177" s="154"/>
      <c r="I177" s="154"/>
      <c r="J177" s="154"/>
      <c r="K177" s="154"/>
      <c r="L177" s="154"/>
      <c r="M177" s="154"/>
      <c r="N177" s="154"/>
      <c r="O177" s="153"/>
      <c r="P177" s="153"/>
      <c r="R177" s="129"/>
      <c r="S177" s="129"/>
      <c r="T177" s="129"/>
      <c r="U177" s="129"/>
      <c r="V177" s="170"/>
      <c r="W177" s="129"/>
      <c r="X177" s="129"/>
      <c r="Y177" s="129"/>
      <c r="Z177" s="168"/>
      <c r="AA177" s="129"/>
      <c r="AB177" s="129"/>
      <c r="AC177" s="129"/>
      <c r="AD177" s="129"/>
      <c r="AE177" s="129"/>
      <c r="AF177" s="129"/>
    </row>
    <row r="178" spans="1:32" ht="15.75" customHeight="1" x14ac:dyDescent="0.2">
      <c r="A178" s="181" t="s">
        <v>78</v>
      </c>
      <c r="B178" s="181"/>
      <c r="C178" s="126"/>
      <c r="D178" s="188" t="s">
        <v>550</v>
      </c>
      <c r="E178" s="128">
        <v>1000</v>
      </c>
      <c r="F178" s="4" t="s">
        <v>316</v>
      </c>
      <c r="G178" s="146"/>
      <c r="H178" s="154"/>
      <c r="I178" s="154"/>
      <c r="J178" s="154"/>
      <c r="K178" s="154"/>
      <c r="L178" s="154"/>
      <c r="M178" s="154"/>
      <c r="N178" s="154"/>
      <c r="O178" s="153"/>
      <c r="P178" s="153"/>
      <c r="R178" s="129"/>
      <c r="S178" s="129"/>
      <c r="T178" s="129"/>
      <c r="U178" s="129"/>
      <c r="V178" s="170"/>
      <c r="W178" s="129"/>
      <c r="X178" s="129"/>
      <c r="Y178" s="129"/>
      <c r="Z178" s="168"/>
      <c r="AA178" s="129"/>
      <c r="AB178" s="129"/>
      <c r="AC178" s="129"/>
      <c r="AD178" s="129"/>
      <c r="AE178" s="129"/>
      <c r="AF178" s="129"/>
    </row>
    <row r="179" spans="1:32" ht="24" customHeight="1" outlineLevel="1" x14ac:dyDescent="0.2">
      <c r="A179" s="3">
        <v>1</v>
      </c>
      <c r="B179" s="79" t="s">
        <v>223</v>
      </c>
      <c r="C179" s="2" t="s">
        <v>569</v>
      </c>
      <c r="D179" s="3" t="s">
        <v>12</v>
      </c>
      <c r="E179" s="17">
        <v>400</v>
      </c>
      <c r="F179" s="4" t="s">
        <v>263</v>
      </c>
      <c r="G179" s="146"/>
      <c r="H179" s="153"/>
      <c r="I179" s="154">
        <v>400</v>
      </c>
      <c r="J179" s="154">
        <f>600+800</f>
        <v>1400</v>
      </c>
      <c r="K179" s="154">
        <v>1000</v>
      </c>
      <c r="L179" s="154"/>
      <c r="M179" s="154">
        <f>2200+200</f>
        <v>2400</v>
      </c>
      <c r="N179" s="154">
        <f>1000+1000</f>
        <v>2000</v>
      </c>
      <c r="O179" s="159">
        <v>150</v>
      </c>
      <c r="P179" s="153"/>
      <c r="R179" s="129"/>
      <c r="S179" s="129"/>
      <c r="T179" s="129"/>
      <c r="U179" s="129"/>
      <c r="V179" s="170"/>
      <c r="W179" s="129"/>
      <c r="X179" s="129"/>
      <c r="Y179" s="129"/>
      <c r="Z179" s="168"/>
      <c r="AA179" s="129"/>
      <c r="AB179" s="129"/>
      <c r="AC179" s="129"/>
      <c r="AD179" s="129"/>
      <c r="AE179" s="129"/>
      <c r="AF179" s="129"/>
    </row>
    <row r="180" spans="1:32" ht="24.75" customHeight="1" outlineLevel="1" x14ac:dyDescent="0.2">
      <c r="A180" s="3">
        <v>2</v>
      </c>
      <c r="B180" s="79" t="s">
        <v>224</v>
      </c>
      <c r="C180" s="126"/>
      <c r="D180" s="188" t="s">
        <v>565</v>
      </c>
      <c r="E180" s="128">
        <v>350</v>
      </c>
      <c r="F180" s="4" t="s">
        <v>263</v>
      </c>
      <c r="G180" s="146"/>
      <c r="H180" s="153">
        <v>750</v>
      </c>
      <c r="I180" s="154">
        <f>300+5550</f>
        <v>5850</v>
      </c>
      <c r="J180" s="154">
        <v>3750</v>
      </c>
      <c r="K180" s="154">
        <v>8250</v>
      </c>
      <c r="L180" s="154">
        <v>10930</v>
      </c>
      <c r="M180" s="154">
        <v>9675</v>
      </c>
      <c r="N180" s="154">
        <v>8500</v>
      </c>
      <c r="O180" s="153">
        <v>16750</v>
      </c>
      <c r="P180" s="161">
        <v>14750</v>
      </c>
      <c r="R180" s="129"/>
      <c r="S180" s="129"/>
      <c r="T180" s="129"/>
      <c r="U180" s="129"/>
      <c r="V180" s="170"/>
      <c r="W180" s="129"/>
      <c r="X180" s="129"/>
      <c r="Y180" s="129"/>
      <c r="Z180" s="168"/>
      <c r="AA180" s="129"/>
      <c r="AB180" s="129"/>
      <c r="AC180" s="129"/>
      <c r="AD180" s="129"/>
      <c r="AE180" s="129"/>
      <c r="AF180" s="129"/>
    </row>
    <row r="181" spans="1:32" ht="32.25" customHeight="1" outlineLevel="1" x14ac:dyDescent="0.2">
      <c r="A181" s="3">
        <v>3</v>
      </c>
      <c r="B181" s="79" t="s">
        <v>224</v>
      </c>
      <c r="C181" s="126"/>
      <c r="D181" s="188" t="s">
        <v>550</v>
      </c>
      <c r="E181" s="128">
        <v>300</v>
      </c>
      <c r="F181" s="4" t="s">
        <v>263</v>
      </c>
      <c r="G181" s="146"/>
      <c r="H181" s="153">
        <v>6300</v>
      </c>
      <c r="I181" s="154">
        <v>1500</v>
      </c>
      <c r="J181" s="154"/>
      <c r="K181" s="154"/>
      <c r="L181" s="154">
        <v>2000</v>
      </c>
      <c r="M181" s="154"/>
      <c r="N181" s="154">
        <v>3800</v>
      </c>
      <c r="O181" s="153">
        <v>2000</v>
      </c>
      <c r="P181" s="161"/>
      <c r="R181" s="129"/>
      <c r="S181" s="129"/>
      <c r="T181" s="129"/>
      <c r="U181" s="129"/>
      <c r="V181" s="170"/>
      <c r="W181" s="129"/>
      <c r="X181" s="129"/>
      <c r="Y181" s="129"/>
      <c r="Z181" s="168"/>
      <c r="AA181" s="129"/>
      <c r="AB181" s="129"/>
      <c r="AC181" s="129"/>
      <c r="AD181" s="129"/>
      <c r="AE181" s="129"/>
      <c r="AF181" s="129"/>
    </row>
    <row r="182" spans="1:32" ht="33.75" customHeight="1" outlineLevel="1" x14ac:dyDescent="0.2">
      <c r="A182" s="3">
        <v>4</v>
      </c>
      <c r="B182" s="5" t="s">
        <v>387</v>
      </c>
      <c r="C182" s="2" t="s">
        <v>570</v>
      </c>
      <c r="D182" s="3" t="s">
        <v>12</v>
      </c>
      <c r="E182" s="17">
        <v>400</v>
      </c>
      <c r="F182" s="4" t="s">
        <v>265</v>
      </c>
      <c r="G182" s="146"/>
      <c r="H182" s="153"/>
      <c r="I182" s="154"/>
      <c r="J182" s="154"/>
      <c r="K182" s="154"/>
      <c r="L182" s="154"/>
      <c r="M182" s="154"/>
      <c r="N182" s="154"/>
      <c r="O182" s="153"/>
      <c r="P182" s="161"/>
      <c r="R182" s="129"/>
      <c r="S182" s="129"/>
      <c r="T182" s="129"/>
      <c r="U182" s="129"/>
      <c r="V182" s="170"/>
      <c r="W182" s="129"/>
      <c r="X182" s="129"/>
      <c r="Y182" s="129"/>
      <c r="Z182" s="168"/>
      <c r="AA182" s="129"/>
      <c r="AB182" s="129"/>
      <c r="AC182" s="129"/>
      <c r="AD182" s="129"/>
      <c r="AE182" s="129"/>
      <c r="AF182" s="129"/>
    </row>
    <row r="183" spans="1:32" ht="33.75" customHeight="1" outlineLevel="1" x14ac:dyDescent="0.2">
      <c r="A183" s="3">
        <v>5</v>
      </c>
      <c r="B183" s="5" t="s">
        <v>387</v>
      </c>
      <c r="C183" s="126"/>
      <c r="D183" s="188" t="s">
        <v>565</v>
      </c>
      <c r="E183" s="128">
        <v>350</v>
      </c>
      <c r="F183" s="4" t="s">
        <v>265</v>
      </c>
      <c r="G183" s="146"/>
      <c r="H183" s="153">
        <v>12150</v>
      </c>
      <c r="I183" s="154">
        <v>53400</v>
      </c>
      <c r="J183" s="154">
        <f>101400</f>
        <v>101400</v>
      </c>
      <c r="K183" s="154">
        <v>270000</v>
      </c>
      <c r="L183" s="154">
        <v>274050</v>
      </c>
      <c r="M183" s="154">
        <v>147150</v>
      </c>
      <c r="N183" s="154">
        <v>98550</v>
      </c>
      <c r="O183" s="153">
        <v>287250</v>
      </c>
      <c r="P183" s="161">
        <v>118800</v>
      </c>
      <c r="R183" s="129"/>
      <c r="S183" s="129"/>
      <c r="T183" s="129"/>
      <c r="U183" s="129"/>
      <c r="V183" s="170"/>
      <c r="W183" s="129"/>
      <c r="X183" s="129"/>
      <c r="Y183" s="129"/>
      <c r="Z183" s="168"/>
      <c r="AA183" s="129"/>
      <c r="AB183" s="129"/>
      <c r="AC183" s="129"/>
      <c r="AD183" s="129"/>
      <c r="AE183" s="129"/>
      <c r="AF183" s="129"/>
    </row>
    <row r="184" spans="1:32" ht="31.5" outlineLevel="1" x14ac:dyDescent="0.2">
      <c r="A184" s="3">
        <v>6</v>
      </c>
      <c r="B184" s="79" t="s">
        <v>338</v>
      </c>
      <c r="C184" s="126"/>
      <c r="D184" s="188" t="s">
        <v>550</v>
      </c>
      <c r="E184" s="128">
        <v>300</v>
      </c>
      <c r="F184" s="4" t="s">
        <v>265</v>
      </c>
      <c r="G184" s="146"/>
      <c r="H184" s="153">
        <v>900</v>
      </c>
      <c r="I184" s="154"/>
      <c r="J184" s="154"/>
      <c r="K184" s="154">
        <v>23870</v>
      </c>
      <c r="L184" s="154">
        <v>22150</v>
      </c>
      <c r="M184" s="154">
        <v>19460</v>
      </c>
      <c r="N184" s="154">
        <v>16460</v>
      </c>
      <c r="O184" s="153">
        <v>12740</v>
      </c>
      <c r="P184" s="161">
        <v>33060</v>
      </c>
      <c r="R184" s="129"/>
      <c r="S184" s="129"/>
      <c r="T184" s="129"/>
      <c r="U184" s="129"/>
      <c r="V184" s="170"/>
      <c r="W184" s="129"/>
      <c r="X184" s="129"/>
      <c r="Y184" s="129"/>
      <c r="Z184" s="168"/>
      <c r="AA184" s="129"/>
      <c r="AB184" s="129"/>
      <c r="AC184" s="129"/>
      <c r="AD184" s="129"/>
      <c r="AE184" s="129"/>
      <c r="AF184" s="129"/>
    </row>
    <row r="185" spans="1:32" ht="47.25" x14ac:dyDescent="0.2">
      <c r="A185" s="176" t="s">
        <v>79</v>
      </c>
      <c r="B185" s="177"/>
      <c r="C185" s="2" t="s">
        <v>571</v>
      </c>
      <c r="D185" s="3" t="s">
        <v>12</v>
      </c>
      <c r="E185" s="17">
        <v>400</v>
      </c>
      <c r="F185" s="4" t="s">
        <v>268</v>
      </c>
      <c r="G185" s="146"/>
      <c r="H185" s="154"/>
      <c r="I185" s="154"/>
      <c r="J185" s="154"/>
      <c r="K185" s="154"/>
      <c r="L185" s="154"/>
      <c r="M185" s="154"/>
      <c r="N185" s="154"/>
      <c r="O185" s="153"/>
      <c r="P185" s="153"/>
      <c r="R185" s="129"/>
      <c r="S185" s="129"/>
      <c r="T185" s="129"/>
      <c r="U185" s="129"/>
      <c r="V185" s="170"/>
      <c r="W185" s="129"/>
      <c r="X185" s="129"/>
      <c r="Y185" s="129"/>
      <c r="Z185" s="168"/>
      <c r="AA185" s="129"/>
      <c r="AB185" s="129"/>
      <c r="AC185" s="129"/>
      <c r="AD185" s="129"/>
      <c r="AE185" s="129"/>
      <c r="AF185" s="129"/>
    </row>
    <row r="186" spans="1:32" outlineLevel="1" x14ac:dyDescent="0.2">
      <c r="A186" s="3">
        <v>1</v>
      </c>
      <c r="B186" s="79" t="s">
        <v>403</v>
      </c>
      <c r="C186" s="126"/>
      <c r="D186" s="188" t="s">
        <v>565</v>
      </c>
      <c r="E186" s="128">
        <v>350</v>
      </c>
      <c r="F186" s="4" t="s">
        <v>268</v>
      </c>
      <c r="G186" s="146"/>
      <c r="H186" s="153">
        <v>4900</v>
      </c>
      <c r="I186" s="154">
        <v>3850</v>
      </c>
      <c r="J186" s="154">
        <v>1750</v>
      </c>
      <c r="K186" s="154">
        <v>5950</v>
      </c>
      <c r="L186" s="154">
        <v>2100</v>
      </c>
      <c r="M186" s="154">
        <f>2800+315</f>
        <v>3115</v>
      </c>
      <c r="N186" s="154">
        <v>700</v>
      </c>
      <c r="O186" s="153">
        <v>4200</v>
      </c>
      <c r="P186" s="161">
        <f>315+1400</f>
        <v>1715</v>
      </c>
      <c r="R186" s="129">
        <v>150</v>
      </c>
      <c r="S186" s="129"/>
      <c r="T186" s="129"/>
      <c r="U186" s="129"/>
      <c r="V186" s="170">
        <v>400</v>
      </c>
      <c r="W186" s="129"/>
      <c r="X186" s="129"/>
      <c r="Y186" s="129"/>
      <c r="Z186" s="168">
        <v>250</v>
      </c>
      <c r="AA186" s="129"/>
      <c r="AB186" s="129"/>
      <c r="AC186" s="129"/>
      <c r="AD186" s="129"/>
      <c r="AE186" s="129"/>
      <c r="AF186" s="129"/>
    </row>
    <row r="187" spans="1:32" outlineLevel="1" x14ac:dyDescent="0.2">
      <c r="A187" s="3">
        <v>2</v>
      </c>
      <c r="B187" s="5" t="s">
        <v>405</v>
      </c>
      <c r="C187" s="126"/>
      <c r="D187" s="188" t="s">
        <v>550</v>
      </c>
      <c r="E187" s="128">
        <v>300</v>
      </c>
      <c r="F187" s="4" t="s">
        <v>268</v>
      </c>
      <c r="G187" s="146"/>
      <c r="H187" s="153">
        <v>2000</v>
      </c>
      <c r="I187" s="154"/>
      <c r="J187" s="154">
        <v>360</v>
      </c>
      <c r="K187" s="154"/>
      <c r="L187" s="154">
        <v>200</v>
      </c>
      <c r="M187" s="154"/>
      <c r="N187" s="154"/>
      <c r="O187" s="153">
        <v>200</v>
      </c>
      <c r="P187" s="161">
        <v>600</v>
      </c>
      <c r="R187" s="129">
        <v>150</v>
      </c>
      <c r="S187" s="129"/>
      <c r="T187" s="129"/>
      <c r="U187" s="129"/>
      <c r="V187" s="170"/>
      <c r="W187" s="129"/>
      <c r="X187" s="129"/>
      <c r="Y187" s="129"/>
      <c r="Z187" s="168">
        <v>250</v>
      </c>
      <c r="AA187" s="129"/>
      <c r="AB187" s="129"/>
      <c r="AC187" s="129"/>
      <c r="AD187" s="129"/>
      <c r="AE187" s="129"/>
      <c r="AF187" s="129"/>
    </row>
    <row r="188" spans="1:32" ht="18.75" customHeight="1" outlineLevel="1" x14ac:dyDescent="0.2">
      <c r="A188" s="3">
        <v>3</v>
      </c>
      <c r="B188" s="79" t="s">
        <v>225</v>
      </c>
      <c r="C188" s="2" t="s">
        <v>572</v>
      </c>
      <c r="D188" s="3" t="s">
        <v>12</v>
      </c>
      <c r="E188" s="17">
        <v>900</v>
      </c>
      <c r="F188" s="4" t="s">
        <v>270</v>
      </c>
      <c r="G188" s="146"/>
      <c r="H188" s="153">
        <v>8800</v>
      </c>
      <c r="I188" s="154">
        <v>8000</v>
      </c>
      <c r="J188" s="154">
        <f>10400+640</f>
        <v>11040</v>
      </c>
      <c r="K188" s="154">
        <f>15200+640</f>
        <v>15840</v>
      </c>
      <c r="L188" s="154">
        <v>7200</v>
      </c>
      <c r="M188" s="154">
        <f>14400+720</f>
        <v>15120</v>
      </c>
      <c r="N188" s="154">
        <v>8000</v>
      </c>
      <c r="O188" s="153">
        <f>1440+9600</f>
        <v>11040</v>
      </c>
      <c r="P188" s="161">
        <f>720+6400</f>
        <v>7120</v>
      </c>
      <c r="R188" s="129">
        <v>850</v>
      </c>
      <c r="S188" s="129">
        <v>1100</v>
      </c>
      <c r="T188" s="129"/>
      <c r="U188" s="129"/>
      <c r="V188" s="170"/>
      <c r="W188" s="129"/>
      <c r="X188" s="129"/>
      <c r="Y188" s="129"/>
      <c r="Z188" s="168">
        <v>1200</v>
      </c>
      <c r="AA188" s="129"/>
      <c r="AB188" s="129"/>
      <c r="AC188" s="129"/>
      <c r="AD188" s="129"/>
      <c r="AE188" s="129"/>
      <c r="AF188" s="129"/>
    </row>
    <row r="189" spans="1:32" ht="16.5" customHeight="1" outlineLevel="1" x14ac:dyDescent="0.2">
      <c r="A189" s="3">
        <v>4</v>
      </c>
      <c r="B189" s="79" t="s">
        <v>227</v>
      </c>
      <c r="C189" s="126"/>
      <c r="D189" s="188" t="s">
        <v>565</v>
      </c>
      <c r="E189" s="128">
        <v>850</v>
      </c>
      <c r="F189" s="4" t="s">
        <v>270</v>
      </c>
      <c r="G189" s="146"/>
      <c r="H189" s="153"/>
      <c r="I189" s="154"/>
      <c r="J189" s="154"/>
      <c r="K189" s="154"/>
      <c r="L189" s="154"/>
      <c r="M189" s="154"/>
      <c r="N189" s="154"/>
      <c r="O189" s="153">
        <v>700</v>
      </c>
      <c r="P189" s="161">
        <v>1400</v>
      </c>
      <c r="R189" s="129">
        <v>700</v>
      </c>
      <c r="S189" s="129"/>
      <c r="T189" s="129"/>
      <c r="U189" s="129"/>
      <c r="V189" s="170"/>
      <c r="W189" s="129"/>
      <c r="X189" s="129"/>
      <c r="Y189" s="129"/>
      <c r="Z189" s="168"/>
      <c r="AA189" s="129"/>
      <c r="AB189" s="129"/>
      <c r="AC189" s="129"/>
      <c r="AD189" s="129"/>
      <c r="AE189" s="129"/>
      <c r="AF189" s="129"/>
    </row>
    <row r="190" spans="1:32" ht="30.75" customHeight="1" outlineLevel="1" x14ac:dyDescent="0.2">
      <c r="A190" s="3">
        <v>5</v>
      </c>
      <c r="B190" s="79" t="s">
        <v>228</v>
      </c>
      <c r="C190" s="126"/>
      <c r="D190" s="188" t="s">
        <v>550</v>
      </c>
      <c r="E190" s="128">
        <v>800</v>
      </c>
      <c r="F190" s="4" t="s">
        <v>270</v>
      </c>
      <c r="G190" s="146"/>
      <c r="H190" s="153"/>
      <c r="I190" s="154">
        <v>3000</v>
      </c>
      <c r="J190" s="154">
        <v>3000</v>
      </c>
      <c r="K190" s="154">
        <f>2000+2600</f>
        <v>4600</v>
      </c>
      <c r="L190" s="154">
        <v>1000</v>
      </c>
      <c r="M190" s="154">
        <v>3000</v>
      </c>
      <c r="N190" s="154">
        <v>3000</v>
      </c>
      <c r="O190" s="153">
        <v>3000</v>
      </c>
      <c r="P190" s="161">
        <v>2000</v>
      </c>
      <c r="R190" s="129">
        <v>700</v>
      </c>
      <c r="S190" s="129"/>
      <c r="T190" s="129"/>
      <c r="U190" s="129"/>
      <c r="V190" s="170"/>
      <c r="W190" s="129"/>
      <c r="X190" s="129"/>
      <c r="Y190" s="129"/>
      <c r="Z190" s="168">
        <v>2000</v>
      </c>
      <c r="AA190" s="129"/>
      <c r="AB190" s="129"/>
      <c r="AC190" s="129"/>
      <c r="AD190" s="129"/>
      <c r="AE190" s="129"/>
      <c r="AF190" s="129"/>
    </row>
    <row r="191" spans="1:32" ht="32.25" customHeight="1" outlineLevel="1" x14ac:dyDescent="0.25">
      <c r="A191" s="3">
        <v>6</v>
      </c>
      <c r="B191" s="79" t="s">
        <v>230</v>
      </c>
      <c r="C191" s="41" t="s">
        <v>320</v>
      </c>
      <c r="D191" s="3" t="s">
        <v>12</v>
      </c>
      <c r="E191" s="17">
        <v>200</v>
      </c>
      <c r="F191" s="4" t="s">
        <v>26</v>
      </c>
      <c r="G191" s="146"/>
      <c r="H191" s="153">
        <v>7500</v>
      </c>
      <c r="I191" s="154">
        <v>6000</v>
      </c>
      <c r="J191" s="154">
        <f>4500+2400</f>
        <v>6900</v>
      </c>
      <c r="K191" s="154">
        <v>6000</v>
      </c>
      <c r="L191" s="154">
        <v>13500</v>
      </c>
      <c r="M191" s="154">
        <f>12000+2700</f>
        <v>14700</v>
      </c>
      <c r="N191" s="154">
        <v>10500</v>
      </c>
      <c r="O191" s="153">
        <f>9000+4500+1350</f>
        <v>14850</v>
      </c>
      <c r="P191" s="161">
        <f>1350+9000</f>
        <v>10350</v>
      </c>
      <c r="R191" s="129">
        <v>450</v>
      </c>
      <c r="S191" s="129"/>
      <c r="T191" s="129"/>
      <c r="U191" s="129"/>
      <c r="V191" s="170"/>
      <c r="W191" s="129"/>
      <c r="X191" s="129"/>
      <c r="Y191" s="129"/>
      <c r="Z191" s="168">
        <v>2000</v>
      </c>
      <c r="AA191" s="129"/>
      <c r="AB191" s="129"/>
      <c r="AC191" s="129"/>
      <c r="AD191" s="129"/>
      <c r="AE191" s="129"/>
      <c r="AF191" s="129"/>
    </row>
    <row r="192" spans="1:32" ht="45" customHeight="1" outlineLevel="1" x14ac:dyDescent="0.25">
      <c r="A192" s="92">
        <v>7</v>
      </c>
      <c r="B192" s="93" t="s">
        <v>444</v>
      </c>
      <c r="C192" s="41" t="s">
        <v>320</v>
      </c>
      <c r="D192" s="3" t="s">
        <v>12</v>
      </c>
      <c r="E192" s="17">
        <v>120</v>
      </c>
      <c r="F192" s="4" t="s">
        <v>72</v>
      </c>
      <c r="G192" s="146"/>
      <c r="H192" s="153">
        <v>3000</v>
      </c>
      <c r="I192" s="154">
        <v>8000</v>
      </c>
      <c r="J192" s="154">
        <v>15000</v>
      </c>
      <c r="K192" s="154">
        <v>11000</v>
      </c>
      <c r="L192" s="154">
        <v>9000</v>
      </c>
      <c r="M192" s="154">
        <f>14000+4000</f>
        <v>18000</v>
      </c>
      <c r="N192" s="154">
        <v>10000</v>
      </c>
      <c r="O192" s="153">
        <v>5000</v>
      </c>
      <c r="P192" s="161">
        <v>7900</v>
      </c>
      <c r="R192" s="129"/>
      <c r="S192" s="129"/>
      <c r="T192" s="129"/>
      <c r="U192" s="129"/>
      <c r="V192" s="170"/>
      <c r="W192" s="129"/>
      <c r="X192" s="129"/>
      <c r="Y192" s="129"/>
      <c r="Z192" s="168"/>
      <c r="AA192" s="129"/>
      <c r="AB192" s="129"/>
      <c r="AC192" s="129"/>
      <c r="AD192" s="129">
        <v>1370</v>
      </c>
      <c r="AE192" s="129"/>
      <c r="AF192" s="129"/>
    </row>
    <row r="193" spans="1:32" s="125" customFormat="1" ht="45" customHeight="1" outlineLevel="1" x14ac:dyDescent="0.2">
      <c r="A193" s="132">
        <v>8</v>
      </c>
      <c r="B193" s="133"/>
      <c r="C193" s="2" t="s">
        <v>573</v>
      </c>
      <c r="D193" s="188" t="s">
        <v>12</v>
      </c>
      <c r="E193" s="128">
        <v>460</v>
      </c>
      <c r="F193" s="4" t="s">
        <v>271</v>
      </c>
      <c r="G193" s="146"/>
      <c r="H193" s="153"/>
      <c r="I193" s="154"/>
      <c r="J193" s="154"/>
      <c r="K193" s="154">
        <v>5000</v>
      </c>
      <c r="L193" s="154">
        <v>2000</v>
      </c>
      <c r="M193" s="154">
        <f>2000+4000</f>
        <v>6000</v>
      </c>
      <c r="N193" s="154">
        <v>10000</v>
      </c>
      <c r="O193" s="153">
        <v>4000</v>
      </c>
      <c r="P193" s="161">
        <v>3000</v>
      </c>
      <c r="R193" s="129"/>
      <c r="S193" s="129"/>
      <c r="T193" s="129"/>
      <c r="U193" s="129"/>
      <c r="V193" s="170"/>
      <c r="W193" s="129"/>
      <c r="X193" s="129"/>
      <c r="Y193" s="129"/>
      <c r="Z193" s="168"/>
      <c r="AA193" s="129"/>
      <c r="AB193" s="129"/>
      <c r="AC193" s="129"/>
      <c r="AD193" s="129"/>
      <c r="AE193" s="129"/>
      <c r="AF193" s="129"/>
    </row>
    <row r="194" spans="1:32" s="125" customFormat="1" ht="27" customHeight="1" outlineLevel="1" x14ac:dyDescent="0.25">
      <c r="A194" s="132">
        <v>9</v>
      </c>
      <c r="B194" s="133"/>
      <c r="C194" s="41"/>
      <c r="D194" s="188" t="s">
        <v>565</v>
      </c>
      <c r="E194" s="128">
        <v>440</v>
      </c>
      <c r="F194" s="4" t="s">
        <v>271</v>
      </c>
      <c r="G194" s="146"/>
      <c r="H194" s="154"/>
      <c r="I194" s="154"/>
      <c r="J194" s="154"/>
      <c r="K194" s="154"/>
      <c r="L194" s="154"/>
      <c r="M194" s="154">
        <f>7000+2000</f>
        <v>9000</v>
      </c>
      <c r="N194" s="154">
        <v>5000</v>
      </c>
      <c r="O194" s="153">
        <v>4000</v>
      </c>
      <c r="P194" s="161">
        <v>8900</v>
      </c>
      <c r="R194" s="129"/>
      <c r="S194" s="129"/>
      <c r="T194" s="129"/>
      <c r="U194" s="129"/>
      <c r="V194" s="170"/>
      <c r="W194" s="129"/>
      <c r="X194" s="129"/>
      <c r="Y194" s="129"/>
      <c r="Z194" s="168">
        <v>100</v>
      </c>
      <c r="AA194" s="129"/>
      <c r="AB194" s="129"/>
      <c r="AC194" s="129"/>
      <c r="AD194" s="129"/>
      <c r="AE194" s="129"/>
      <c r="AF194" s="129"/>
    </row>
    <row r="195" spans="1:32" ht="24.75" customHeight="1" outlineLevel="1" x14ac:dyDescent="0.2">
      <c r="A195" s="92">
        <v>10</v>
      </c>
      <c r="B195" s="93"/>
      <c r="D195" s="188" t="s">
        <v>550</v>
      </c>
      <c r="E195" s="17">
        <v>420</v>
      </c>
      <c r="F195" s="4" t="s">
        <v>271</v>
      </c>
      <c r="G195" s="146"/>
      <c r="H195" s="154"/>
      <c r="I195" s="154"/>
      <c r="J195" s="154"/>
      <c r="K195" s="154"/>
      <c r="L195" s="154"/>
      <c r="M195" s="154">
        <v>1000</v>
      </c>
      <c r="N195" s="154"/>
      <c r="O195" s="153"/>
      <c r="P195" s="161">
        <v>1000</v>
      </c>
      <c r="R195" s="129"/>
      <c r="S195" s="129"/>
      <c r="T195" s="129"/>
      <c r="U195" s="129"/>
      <c r="V195" s="170"/>
      <c r="W195" s="129"/>
      <c r="X195" s="129"/>
      <c r="Y195" s="129"/>
      <c r="Z195" s="168"/>
      <c r="AA195" s="129"/>
      <c r="AB195" s="129"/>
      <c r="AC195" s="129"/>
      <c r="AD195" s="129"/>
      <c r="AE195" s="129"/>
      <c r="AF195" s="129"/>
    </row>
    <row r="196" spans="1:32" ht="23.25" x14ac:dyDescent="0.2">
      <c r="A196" s="176" t="s">
        <v>80</v>
      </c>
      <c r="B196" s="177"/>
      <c r="C196" s="177"/>
      <c r="D196" s="177"/>
      <c r="E196" s="177"/>
      <c r="F196" s="177"/>
      <c r="G196" s="146"/>
      <c r="H196" s="154"/>
      <c r="I196" s="154"/>
      <c r="J196" s="154"/>
      <c r="K196" s="154"/>
      <c r="L196" s="154"/>
      <c r="M196" s="154"/>
      <c r="N196" s="154"/>
      <c r="O196" s="153"/>
      <c r="P196" s="153"/>
      <c r="R196" s="129"/>
      <c r="S196" s="129"/>
      <c r="T196" s="129"/>
      <c r="U196" s="129"/>
      <c r="V196" s="170"/>
      <c r="W196" s="129"/>
      <c r="X196" s="129"/>
      <c r="Y196" s="129"/>
      <c r="Z196" s="168"/>
      <c r="AA196" s="129"/>
      <c r="AB196" s="129"/>
      <c r="AC196" s="129"/>
      <c r="AD196" s="129"/>
      <c r="AE196" s="129"/>
      <c r="AF196" s="129"/>
    </row>
    <row r="197" spans="1:32" ht="22.5" customHeight="1" outlineLevel="1" x14ac:dyDescent="0.2">
      <c r="A197" s="3" t="s">
        <v>18</v>
      </c>
      <c r="B197" s="79" t="s">
        <v>232</v>
      </c>
      <c r="C197" s="311" t="s">
        <v>327</v>
      </c>
      <c r="D197" s="3" t="s">
        <v>12</v>
      </c>
      <c r="E197" s="17">
        <v>400</v>
      </c>
      <c r="F197" s="4" t="s">
        <v>27</v>
      </c>
      <c r="G197" s="146"/>
      <c r="H197" s="153"/>
      <c r="I197" s="154"/>
      <c r="J197" s="154">
        <v>900</v>
      </c>
      <c r="K197" s="154">
        <v>1800</v>
      </c>
      <c r="L197" s="154"/>
      <c r="M197" s="154"/>
      <c r="N197" s="154"/>
      <c r="O197" s="153"/>
      <c r="P197" s="161">
        <v>900</v>
      </c>
      <c r="R197" s="129">
        <v>650</v>
      </c>
      <c r="S197" s="129">
        <v>900</v>
      </c>
      <c r="T197" s="129"/>
      <c r="U197" s="129"/>
      <c r="V197" s="170">
        <v>1000</v>
      </c>
      <c r="W197" s="129"/>
      <c r="X197" s="129"/>
      <c r="Y197" s="129"/>
      <c r="Z197" s="168"/>
      <c r="AA197" s="129"/>
      <c r="AB197" s="129"/>
      <c r="AC197" s="129"/>
      <c r="AD197" s="129"/>
      <c r="AE197" s="129"/>
      <c r="AF197" s="129"/>
    </row>
    <row r="198" spans="1:32" ht="17.25" customHeight="1" outlineLevel="1" x14ac:dyDescent="0.2">
      <c r="A198" s="3" t="s">
        <v>19</v>
      </c>
      <c r="B198" s="79" t="s">
        <v>233</v>
      </c>
      <c r="C198" s="312"/>
      <c r="D198" s="3" t="s">
        <v>29</v>
      </c>
      <c r="E198" s="17">
        <v>3000</v>
      </c>
      <c r="F198" s="4" t="s">
        <v>28</v>
      </c>
      <c r="G198" s="146"/>
      <c r="H198" s="153"/>
      <c r="I198" s="154"/>
      <c r="J198" s="154"/>
      <c r="K198" s="154"/>
      <c r="L198" s="154"/>
      <c r="M198" s="154"/>
      <c r="N198" s="154"/>
      <c r="O198" s="153"/>
      <c r="P198" s="161"/>
      <c r="R198" s="129"/>
      <c r="S198" s="129"/>
      <c r="T198" s="129"/>
      <c r="U198" s="129"/>
      <c r="V198" s="170">
        <v>600</v>
      </c>
      <c r="W198" s="129"/>
      <c r="X198" s="129"/>
      <c r="Y198" s="129"/>
      <c r="Z198" s="168"/>
      <c r="AA198" s="129"/>
      <c r="AB198" s="129"/>
      <c r="AC198" s="129"/>
      <c r="AD198" s="129"/>
      <c r="AE198" s="129"/>
      <c r="AF198" s="129"/>
    </row>
    <row r="199" spans="1:32" ht="31.5" outlineLevel="1" x14ac:dyDescent="0.2">
      <c r="A199" s="3" t="s">
        <v>20</v>
      </c>
      <c r="B199" s="79" t="s">
        <v>240</v>
      </c>
      <c r="C199" s="312"/>
      <c r="D199" s="3" t="s">
        <v>12</v>
      </c>
      <c r="E199" s="17">
        <v>250</v>
      </c>
      <c r="F199" s="4" t="s">
        <v>30</v>
      </c>
      <c r="G199" s="146"/>
      <c r="H199" s="153"/>
      <c r="I199" s="154"/>
      <c r="J199" s="154"/>
      <c r="K199" s="154"/>
      <c r="L199" s="154"/>
      <c r="M199" s="154"/>
      <c r="N199" s="154">
        <v>2000</v>
      </c>
      <c r="O199" s="153"/>
      <c r="P199" s="161">
        <v>1000</v>
      </c>
      <c r="R199" s="129">
        <v>700</v>
      </c>
      <c r="S199" s="129">
        <v>1000</v>
      </c>
      <c r="T199" s="129"/>
      <c r="U199" s="129"/>
      <c r="V199" s="170">
        <v>1000</v>
      </c>
      <c r="W199" s="129"/>
      <c r="X199" s="129"/>
      <c r="Y199" s="129"/>
      <c r="Z199" s="168"/>
      <c r="AA199" s="129"/>
      <c r="AB199" s="129"/>
      <c r="AC199" s="129"/>
      <c r="AD199" s="129"/>
      <c r="AE199" s="129"/>
      <c r="AF199" s="129"/>
    </row>
    <row r="200" spans="1:32" ht="27.75" customHeight="1" outlineLevel="1" x14ac:dyDescent="0.2">
      <c r="A200" s="3" t="s">
        <v>21</v>
      </c>
      <c r="B200" s="79" t="s">
        <v>341</v>
      </c>
      <c r="C200" s="313"/>
      <c r="D200" s="3" t="s">
        <v>29</v>
      </c>
      <c r="E200" s="17">
        <v>2000</v>
      </c>
      <c r="F200" s="4" t="s">
        <v>31</v>
      </c>
      <c r="G200" s="146"/>
      <c r="H200" s="153"/>
      <c r="I200" s="154">
        <v>1000</v>
      </c>
      <c r="J200" s="154">
        <v>800</v>
      </c>
      <c r="K200" s="154"/>
      <c r="L200" s="154"/>
      <c r="M200" s="154"/>
      <c r="N200" s="154"/>
      <c r="O200" s="153"/>
      <c r="P200" s="161"/>
      <c r="R200" s="129"/>
      <c r="S200" s="129">
        <v>1000</v>
      </c>
      <c r="T200" s="129"/>
      <c r="U200" s="129"/>
      <c r="V200" s="170">
        <v>1000</v>
      </c>
      <c r="W200" s="129"/>
      <c r="X200" s="129"/>
      <c r="Y200" s="129"/>
      <c r="Z200" s="168"/>
      <c r="AA200" s="129"/>
      <c r="AB200" s="129"/>
      <c r="AC200" s="129"/>
      <c r="AD200" s="129"/>
      <c r="AE200" s="129"/>
      <c r="AF200" s="129"/>
    </row>
    <row r="201" spans="1:32" ht="16.5" customHeight="1" outlineLevel="1" x14ac:dyDescent="0.2">
      <c r="A201" s="3" t="s">
        <v>91</v>
      </c>
      <c r="B201" s="79" t="s">
        <v>239</v>
      </c>
      <c r="C201" s="177"/>
      <c r="D201" s="177"/>
      <c r="E201" s="177"/>
      <c r="F201" s="177"/>
      <c r="G201" s="146"/>
      <c r="H201" s="153"/>
      <c r="I201" s="154"/>
      <c r="J201" s="154"/>
      <c r="K201" s="154"/>
      <c r="L201" s="154"/>
      <c r="M201" s="154">
        <v>4800</v>
      </c>
      <c r="N201" s="154">
        <v>1200</v>
      </c>
      <c r="O201" s="153">
        <v>7200</v>
      </c>
      <c r="P201" s="161">
        <v>1080</v>
      </c>
      <c r="R201" s="129">
        <v>750</v>
      </c>
      <c r="S201" s="129">
        <v>1200</v>
      </c>
      <c r="T201" s="129"/>
      <c r="U201" s="129"/>
      <c r="V201" s="170"/>
      <c r="W201" s="129"/>
      <c r="X201" s="129"/>
      <c r="Y201" s="129"/>
      <c r="Z201" s="168"/>
      <c r="AA201" s="129"/>
      <c r="AB201" s="129"/>
      <c r="AC201" s="129"/>
      <c r="AD201" s="129"/>
      <c r="AE201" s="129"/>
      <c r="AF201" s="129"/>
    </row>
    <row r="202" spans="1:32" ht="29.25" customHeight="1" outlineLevel="1" x14ac:dyDescent="0.2">
      <c r="A202" s="3" t="s">
        <v>92</v>
      </c>
      <c r="B202" s="79" t="s">
        <v>234</v>
      </c>
      <c r="C202" s="172" t="s">
        <v>332</v>
      </c>
      <c r="D202" s="173"/>
      <c r="E202" s="173"/>
      <c r="F202" s="192"/>
      <c r="G202" s="146"/>
      <c r="H202" s="153">
        <v>800</v>
      </c>
      <c r="I202" s="154">
        <v>1600</v>
      </c>
      <c r="J202" s="154"/>
      <c r="K202" s="154">
        <v>800</v>
      </c>
      <c r="L202" s="154">
        <v>1600</v>
      </c>
      <c r="M202" s="154"/>
      <c r="N202" s="154">
        <v>1600</v>
      </c>
      <c r="O202" s="153"/>
      <c r="P202" s="161">
        <v>800</v>
      </c>
      <c r="R202" s="129"/>
      <c r="S202" s="129">
        <v>700</v>
      </c>
      <c r="T202" s="129"/>
      <c r="U202" s="129"/>
      <c r="V202" s="170"/>
      <c r="W202" s="129"/>
      <c r="X202" s="129"/>
      <c r="Y202" s="129"/>
      <c r="Z202" s="168"/>
      <c r="AA202" s="129"/>
      <c r="AB202" s="129"/>
      <c r="AC202" s="129"/>
      <c r="AD202" s="129"/>
      <c r="AE202" s="129"/>
      <c r="AF202" s="129"/>
    </row>
    <row r="203" spans="1:32" ht="23.25" customHeight="1" outlineLevel="1" x14ac:dyDescent="0.2">
      <c r="A203" s="3" t="s">
        <v>93</v>
      </c>
      <c r="B203" s="79" t="s">
        <v>235</v>
      </c>
      <c r="C203" s="2" t="s">
        <v>75</v>
      </c>
      <c r="D203" s="3" t="s">
        <v>33</v>
      </c>
      <c r="E203" s="86">
        <v>220</v>
      </c>
      <c r="F203" s="4" t="s">
        <v>75</v>
      </c>
      <c r="G203" s="146"/>
      <c r="H203" s="153">
        <v>800</v>
      </c>
      <c r="I203" s="154"/>
      <c r="J203" s="154"/>
      <c r="K203" s="154">
        <v>1600</v>
      </c>
      <c r="L203" s="154"/>
      <c r="M203" s="154">
        <v>1600</v>
      </c>
      <c r="N203" s="154">
        <v>6200</v>
      </c>
      <c r="O203" s="153">
        <v>1600</v>
      </c>
      <c r="P203" s="161">
        <v>800</v>
      </c>
      <c r="R203" s="129"/>
      <c r="S203" s="129"/>
      <c r="T203" s="129"/>
      <c r="U203" s="129"/>
      <c r="V203" s="170">
        <v>600</v>
      </c>
      <c r="W203" s="129"/>
      <c r="X203" s="129"/>
      <c r="Y203" s="129"/>
      <c r="Z203" s="168"/>
      <c r="AA203" s="129"/>
      <c r="AB203" s="129"/>
      <c r="AC203" s="129"/>
      <c r="AD203" s="129"/>
      <c r="AE203" s="129"/>
      <c r="AF203" s="129"/>
    </row>
    <row r="204" spans="1:32" ht="27.75" customHeight="1" outlineLevel="1" x14ac:dyDescent="0.2">
      <c r="A204" s="3" t="s">
        <v>94</v>
      </c>
      <c r="B204" s="79" t="s">
        <v>239</v>
      </c>
      <c r="C204" s="2" t="s">
        <v>85</v>
      </c>
      <c r="D204" s="3" t="s">
        <v>33</v>
      </c>
      <c r="E204" s="86">
        <v>240</v>
      </c>
      <c r="F204" s="4" t="s">
        <v>85</v>
      </c>
      <c r="G204" s="146"/>
      <c r="H204" s="153">
        <v>1200</v>
      </c>
      <c r="I204" s="154">
        <v>6000</v>
      </c>
      <c r="J204" s="154">
        <v>6000</v>
      </c>
      <c r="K204" s="154">
        <v>10500</v>
      </c>
      <c r="L204" s="154">
        <v>9000</v>
      </c>
      <c r="M204" s="154">
        <v>7500</v>
      </c>
      <c r="N204" s="154">
        <v>9000</v>
      </c>
      <c r="O204" s="153">
        <v>13500</v>
      </c>
      <c r="P204" s="161">
        <v>9000</v>
      </c>
      <c r="R204" s="129">
        <v>850</v>
      </c>
      <c r="S204" s="129"/>
      <c r="T204" s="129"/>
      <c r="U204" s="129"/>
      <c r="V204" s="170"/>
      <c r="W204" s="129"/>
      <c r="X204" s="129"/>
      <c r="Y204" s="129"/>
      <c r="Z204" s="168"/>
      <c r="AA204" s="129"/>
      <c r="AB204" s="129"/>
      <c r="AC204" s="129"/>
      <c r="AD204" s="129"/>
      <c r="AE204" s="129"/>
      <c r="AF204" s="129"/>
    </row>
    <row r="205" spans="1:32" ht="31.5" outlineLevel="1" x14ac:dyDescent="0.2">
      <c r="A205" s="3" t="s">
        <v>95</v>
      </c>
      <c r="B205" s="79" t="s">
        <v>236</v>
      </c>
      <c r="C205" s="2" t="s">
        <v>76</v>
      </c>
      <c r="D205" s="3" t="s">
        <v>33</v>
      </c>
      <c r="E205" s="86">
        <v>300</v>
      </c>
      <c r="F205" s="4" t="s">
        <v>76</v>
      </c>
      <c r="G205" s="146"/>
      <c r="H205" s="153">
        <v>800</v>
      </c>
      <c r="I205" s="154"/>
      <c r="J205" s="154">
        <v>800</v>
      </c>
      <c r="K205" s="154"/>
      <c r="L205" s="154"/>
      <c r="M205" s="154">
        <v>4000</v>
      </c>
      <c r="N205" s="154"/>
      <c r="O205" s="153">
        <v>2400</v>
      </c>
      <c r="P205" s="161"/>
      <c r="R205" s="129"/>
      <c r="S205" s="129"/>
      <c r="T205" s="129"/>
      <c r="U205" s="129"/>
      <c r="V205" s="170"/>
      <c r="W205" s="129"/>
      <c r="X205" s="129"/>
      <c r="Y205" s="129"/>
      <c r="Z205" s="168"/>
      <c r="AA205" s="129"/>
      <c r="AB205" s="129"/>
      <c r="AC205" s="129"/>
      <c r="AD205" s="129"/>
      <c r="AE205" s="129"/>
      <c r="AF205" s="129"/>
    </row>
    <row r="206" spans="1:32" ht="29.25" customHeight="1" outlineLevel="1" x14ac:dyDescent="0.2">
      <c r="A206" s="3" t="s">
        <v>96</v>
      </c>
      <c r="B206" s="79" t="s">
        <v>237</v>
      </c>
      <c r="C206" s="2" t="s">
        <v>407</v>
      </c>
      <c r="D206" s="3" t="s">
        <v>33</v>
      </c>
      <c r="E206" s="86">
        <v>300</v>
      </c>
      <c r="F206" s="4" t="s">
        <v>407</v>
      </c>
      <c r="G206" s="146"/>
      <c r="H206" s="154"/>
      <c r="I206" s="154"/>
      <c r="J206" s="154"/>
      <c r="K206" s="154"/>
      <c r="L206" s="154"/>
      <c r="M206" s="154">
        <v>750</v>
      </c>
      <c r="N206" s="154"/>
      <c r="O206" s="153"/>
      <c r="P206" s="161"/>
      <c r="R206" s="129">
        <v>800</v>
      </c>
      <c r="S206" s="129">
        <v>900</v>
      </c>
      <c r="T206" s="129"/>
      <c r="U206" s="129"/>
      <c r="V206" s="170">
        <v>800</v>
      </c>
      <c r="W206" s="129"/>
      <c r="X206" s="129"/>
      <c r="Y206" s="129"/>
      <c r="Z206" s="168"/>
      <c r="AA206" s="129"/>
      <c r="AB206" s="129"/>
      <c r="AC206" s="129"/>
      <c r="AD206" s="129"/>
      <c r="AE206" s="129"/>
      <c r="AF206" s="129"/>
    </row>
    <row r="207" spans="1:32" ht="31.5" outlineLevel="1" x14ac:dyDescent="0.2">
      <c r="A207" s="3" t="s">
        <v>97</v>
      </c>
      <c r="B207" s="79" t="s">
        <v>238</v>
      </c>
      <c r="C207" s="172" t="s">
        <v>333</v>
      </c>
      <c r="D207" s="173"/>
      <c r="E207" s="173"/>
      <c r="F207" s="192"/>
      <c r="G207" s="146"/>
      <c r="H207" s="154"/>
      <c r="I207" s="154"/>
      <c r="J207" s="154"/>
      <c r="K207" s="154"/>
      <c r="L207" s="154"/>
      <c r="M207" s="154"/>
      <c r="N207" s="154"/>
      <c r="O207" s="153"/>
      <c r="P207" s="161"/>
      <c r="R207" s="129">
        <v>550</v>
      </c>
      <c r="S207" s="129">
        <v>800</v>
      </c>
      <c r="T207" s="129"/>
      <c r="U207" s="129"/>
      <c r="V207" s="170">
        <v>900</v>
      </c>
      <c r="W207" s="129"/>
      <c r="X207" s="129"/>
      <c r="Y207" s="129"/>
      <c r="Z207" s="168"/>
      <c r="AA207" s="129"/>
      <c r="AB207" s="129"/>
      <c r="AC207" s="129"/>
      <c r="AD207" s="129"/>
      <c r="AE207" s="129"/>
      <c r="AF207" s="129"/>
    </row>
    <row r="208" spans="1:32" ht="24.75" customHeight="1" outlineLevel="1" x14ac:dyDescent="0.2">
      <c r="A208" s="3" t="s">
        <v>98</v>
      </c>
      <c r="B208" s="79"/>
      <c r="C208" s="2" t="s">
        <v>75</v>
      </c>
      <c r="D208" s="3" t="s">
        <v>33</v>
      </c>
      <c r="E208" s="86">
        <v>240</v>
      </c>
      <c r="F208" s="4" t="s">
        <v>75</v>
      </c>
      <c r="G208" s="146"/>
      <c r="H208" s="154"/>
      <c r="I208" s="154"/>
      <c r="J208" s="154"/>
      <c r="K208" s="154"/>
      <c r="L208" s="154"/>
      <c r="M208" s="154"/>
      <c r="N208" s="154"/>
      <c r="O208" s="153"/>
      <c r="P208" s="161"/>
      <c r="R208" s="129"/>
      <c r="S208" s="129"/>
      <c r="T208" s="129"/>
      <c r="U208" s="129"/>
      <c r="V208" s="170"/>
      <c r="W208" s="129"/>
      <c r="X208" s="129"/>
      <c r="Y208" s="129"/>
      <c r="Z208" s="168"/>
      <c r="AA208" s="129"/>
      <c r="AB208" s="129"/>
      <c r="AC208" s="129"/>
      <c r="AD208" s="129"/>
      <c r="AE208" s="129"/>
      <c r="AF208" s="129"/>
    </row>
    <row r="209" spans="1:32" ht="27.75" customHeight="1" outlineLevel="1" x14ac:dyDescent="0.2">
      <c r="A209" s="3" t="s">
        <v>99</v>
      </c>
      <c r="B209" s="79"/>
      <c r="C209" s="2" t="s">
        <v>85</v>
      </c>
      <c r="D209" s="3" t="s">
        <v>33</v>
      </c>
      <c r="E209" s="86">
        <v>300</v>
      </c>
      <c r="F209" s="4" t="s">
        <v>85</v>
      </c>
      <c r="G209" s="146"/>
      <c r="H209" s="154"/>
      <c r="I209" s="154"/>
      <c r="J209" s="154"/>
      <c r="K209" s="154"/>
      <c r="L209" s="154"/>
      <c r="M209" s="154"/>
      <c r="N209" s="154">
        <v>1600</v>
      </c>
      <c r="O209" s="153"/>
      <c r="P209" s="161"/>
      <c r="R209" s="129"/>
      <c r="S209" s="129"/>
      <c r="T209" s="129"/>
      <c r="U209" s="129"/>
      <c r="V209" s="170"/>
      <c r="W209" s="129"/>
      <c r="X209" s="129"/>
      <c r="Y209" s="129"/>
      <c r="Z209" s="168"/>
      <c r="AA209" s="129"/>
      <c r="AB209" s="129"/>
      <c r="AC209" s="129"/>
      <c r="AD209" s="129"/>
      <c r="AE209" s="129"/>
      <c r="AF209" s="129"/>
    </row>
    <row r="210" spans="1:32" ht="31.5" outlineLevel="1" x14ac:dyDescent="0.2">
      <c r="A210" s="3" t="s">
        <v>100</v>
      </c>
      <c r="B210" s="79" t="s">
        <v>345</v>
      </c>
      <c r="C210" s="2" t="s">
        <v>76</v>
      </c>
      <c r="D210" s="3" t="s">
        <v>33</v>
      </c>
      <c r="E210" s="86">
        <v>330</v>
      </c>
      <c r="F210" s="4" t="s">
        <v>76</v>
      </c>
      <c r="G210" s="146"/>
      <c r="H210" s="154"/>
      <c r="I210" s="154"/>
      <c r="J210" s="154"/>
      <c r="K210" s="154"/>
      <c r="L210" s="154"/>
      <c r="M210" s="154"/>
      <c r="N210" s="154"/>
      <c r="O210" s="153"/>
      <c r="P210" s="161"/>
      <c r="R210" s="129">
        <v>850</v>
      </c>
      <c r="S210" s="129">
        <v>1300</v>
      </c>
      <c r="T210" s="129"/>
      <c r="U210" s="129"/>
      <c r="V210" s="170">
        <v>900</v>
      </c>
      <c r="W210" s="129"/>
      <c r="X210" s="129"/>
      <c r="Y210" s="129"/>
      <c r="Z210" s="168"/>
      <c r="AA210" s="129"/>
      <c r="AB210" s="129"/>
      <c r="AC210" s="129"/>
      <c r="AD210" s="129"/>
      <c r="AE210" s="129"/>
      <c r="AF210" s="129"/>
    </row>
    <row r="211" spans="1:32" ht="47.25" outlineLevel="1" x14ac:dyDescent="0.2">
      <c r="A211" s="3" t="s">
        <v>101</v>
      </c>
      <c r="B211" s="79" t="s">
        <v>345</v>
      </c>
      <c r="C211" s="2" t="s">
        <v>407</v>
      </c>
      <c r="D211" s="3" t="s">
        <v>33</v>
      </c>
      <c r="E211" s="86">
        <v>330</v>
      </c>
      <c r="F211" s="4" t="s">
        <v>407</v>
      </c>
      <c r="G211" s="146"/>
      <c r="H211" s="154"/>
      <c r="I211" s="154"/>
      <c r="J211" s="154"/>
      <c r="K211" s="154"/>
      <c r="L211" s="154"/>
      <c r="M211" s="154"/>
      <c r="N211" s="154"/>
      <c r="O211" s="153"/>
      <c r="P211" s="161">
        <v>1080</v>
      </c>
      <c r="R211" s="129">
        <v>850</v>
      </c>
      <c r="S211" s="129">
        <v>1300</v>
      </c>
      <c r="T211" s="129"/>
      <c r="U211" s="129"/>
      <c r="V211" s="170">
        <v>900</v>
      </c>
      <c r="W211" s="129"/>
      <c r="X211" s="129"/>
      <c r="Y211" s="129"/>
      <c r="Z211" s="168"/>
      <c r="AA211" s="129"/>
      <c r="AB211" s="129"/>
      <c r="AC211" s="129"/>
      <c r="AD211" s="129"/>
      <c r="AE211" s="129"/>
      <c r="AF211" s="129"/>
    </row>
    <row r="212" spans="1:32" outlineLevel="1" x14ac:dyDescent="0.2">
      <c r="A212" s="3" t="s">
        <v>420</v>
      </c>
      <c r="B212" s="79" t="s">
        <v>346</v>
      </c>
      <c r="C212" s="22" t="s">
        <v>401</v>
      </c>
      <c r="D212" s="335"/>
      <c r="E212" s="336"/>
      <c r="F212" s="279"/>
      <c r="G212" s="146"/>
      <c r="H212" s="154"/>
      <c r="I212" s="154"/>
      <c r="J212" s="154"/>
      <c r="K212" s="154">
        <v>1200</v>
      </c>
      <c r="L212" s="154"/>
      <c r="M212" s="154"/>
      <c r="N212" s="154"/>
      <c r="O212" s="153"/>
      <c r="P212" s="161">
        <v>1080</v>
      </c>
      <c r="R212" s="129">
        <v>850</v>
      </c>
      <c r="S212" s="129">
        <v>1300</v>
      </c>
      <c r="T212" s="129"/>
      <c r="U212" s="129"/>
      <c r="V212" s="170">
        <v>900</v>
      </c>
      <c r="W212" s="129"/>
      <c r="X212" s="129"/>
      <c r="Y212" s="129"/>
      <c r="Z212" s="168"/>
      <c r="AA212" s="129"/>
      <c r="AB212" s="129"/>
      <c r="AC212" s="129"/>
      <c r="AD212" s="129"/>
      <c r="AE212" s="129"/>
      <c r="AF212" s="129"/>
    </row>
    <row r="213" spans="1:32" ht="31.5" outlineLevel="1" x14ac:dyDescent="0.2">
      <c r="A213" s="3" t="s">
        <v>421</v>
      </c>
      <c r="B213" s="79" t="s">
        <v>346</v>
      </c>
      <c r="C213" s="5" t="s">
        <v>397</v>
      </c>
      <c r="D213" s="335"/>
      <c r="E213" s="336"/>
      <c r="F213" s="279"/>
      <c r="G213" s="146"/>
      <c r="H213" s="154"/>
      <c r="I213" s="154"/>
      <c r="J213" s="154"/>
      <c r="K213" s="154"/>
      <c r="L213" s="154"/>
      <c r="M213" s="154">
        <v>1200</v>
      </c>
      <c r="N213" s="154"/>
      <c r="O213" s="153"/>
      <c r="P213" s="161"/>
      <c r="R213" s="129">
        <v>850</v>
      </c>
      <c r="S213" s="129">
        <v>1300</v>
      </c>
      <c r="T213" s="129"/>
      <c r="U213" s="129"/>
      <c r="V213" s="170">
        <v>900</v>
      </c>
      <c r="W213" s="129"/>
      <c r="X213" s="129"/>
      <c r="Y213" s="129"/>
      <c r="Z213" s="168"/>
      <c r="AA213" s="129"/>
      <c r="AB213" s="129"/>
      <c r="AC213" s="129"/>
      <c r="AD213" s="129"/>
      <c r="AE213" s="129"/>
      <c r="AF213" s="129"/>
    </row>
    <row r="214" spans="1:32" outlineLevel="1" x14ac:dyDescent="0.2">
      <c r="A214" s="3" t="s">
        <v>422</v>
      </c>
      <c r="B214" s="79" t="s">
        <v>348</v>
      </c>
      <c r="C214" s="5" t="s">
        <v>399</v>
      </c>
      <c r="D214" s="335"/>
      <c r="E214" s="336"/>
      <c r="F214" s="279"/>
      <c r="G214" s="146"/>
      <c r="H214" s="153">
        <v>3600</v>
      </c>
      <c r="I214" s="154">
        <v>1200</v>
      </c>
      <c r="J214" s="154">
        <v>2400</v>
      </c>
      <c r="K214" s="154">
        <v>1200</v>
      </c>
      <c r="L214" s="154">
        <v>2400</v>
      </c>
      <c r="M214" s="154"/>
      <c r="N214" s="154"/>
      <c r="O214" s="153"/>
      <c r="P214" s="161">
        <v>1080</v>
      </c>
      <c r="R214" s="129"/>
      <c r="S214" s="129"/>
      <c r="T214" s="129"/>
      <c r="U214" s="129"/>
      <c r="V214" s="170">
        <v>1000</v>
      </c>
      <c r="W214" s="129"/>
      <c r="X214" s="129"/>
      <c r="Y214" s="129"/>
      <c r="Z214" s="168" t="s">
        <v>537</v>
      </c>
      <c r="AA214" s="129"/>
      <c r="AB214" s="129"/>
      <c r="AC214" s="129"/>
      <c r="AD214" s="129"/>
      <c r="AE214" s="129"/>
      <c r="AF214" s="129"/>
    </row>
    <row r="215" spans="1:32" ht="47.25" x14ac:dyDescent="0.2">
      <c r="A215" s="176" t="s">
        <v>81</v>
      </c>
      <c r="B215" s="177"/>
      <c r="C215" s="57" t="s">
        <v>220</v>
      </c>
      <c r="D215" s="78" t="s">
        <v>33</v>
      </c>
      <c r="E215" s="89">
        <v>15000</v>
      </c>
      <c r="F215" s="57" t="s">
        <v>220</v>
      </c>
      <c r="G215" s="146"/>
      <c r="H215" s="154"/>
      <c r="I215" s="154"/>
      <c r="J215" s="154"/>
      <c r="K215" s="154"/>
      <c r="L215" s="154"/>
      <c r="M215" s="154"/>
      <c r="N215" s="154"/>
      <c r="O215" s="153"/>
      <c r="P215" s="153"/>
      <c r="R215" s="129"/>
      <c r="S215" s="129"/>
      <c r="T215" s="129"/>
      <c r="U215" s="129"/>
      <c r="V215" s="170"/>
      <c r="W215" s="129"/>
      <c r="X215" s="129"/>
      <c r="Y215" s="129"/>
      <c r="Z215" s="168"/>
      <c r="AA215" s="129"/>
      <c r="AB215" s="129"/>
      <c r="AC215" s="129"/>
      <c r="AD215" s="129"/>
      <c r="AE215" s="129"/>
      <c r="AF215" s="129"/>
    </row>
    <row r="216" spans="1:32" ht="32.25" customHeight="1" outlineLevel="1" x14ac:dyDescent="0.2">
      <c r="A216" s="3" t="s">
        <v>17</v>
      </c>
      <c r="B216" s="79" t="s">
        <v>247</v>
      </c>
      <c r="C216" s="4" t="s">
        <v>221</v>
      </c>
      <c r="D216" s="3" t="s">
        <v>90</v>
      </c>
      <c r="E216" s="17">
        <v>3000</v>
      </c>
      <c r="F216" s="4" t="s">
        <v>221</v>
      </c>
      <c r="G216" s="146"/>
      <c r="H216" s="153">
        <v>3100</v>
      </c>
      <c r="I216" s="154">
        <v>10200</v>
      </c>
      <c r="J216" s="154">
        <v>7000</v>
      </c>
      <c r="K216" s="154">
        <v>9800</v>
      </c>
      <c r="L216" s="154">
        <v>7700</v>
      </c>
      <c r="M216" s="154">
        <v>9350</v>
      </c>
      <c r="N216" s="154">
        <v>2600</v>
      </c>
      <c r="O216" s="153">
        <v>4400</v>
      </c>
      <c r="P216" s="161">
        <v>7900</v>
      </c>
      <c r="R216" s="129"/>
      <c r="S216" s="129"/>
      <c r="T216" s="129"/>
      <c r="U216" s="129"/>
      <c r="V216" s="170"/>
      <c r="W216" s="129"/>
      <c r="X216" s="129"/>
      <c r="Y216" s="129"/>
      <c r="Z216" s="168"/>
      <c r="AA216" s="129"/>
      <c r="AB216" s="129"/>
      <c r="AC216" s="129"/>
      <c r="AD216" s="129"/>
      <c r="AE216" s="129"/>
      <c r="AF216" s="129"/>
    </row>
    <row r="217" spans="1:32" ht="35.25" customHeight="1" outlineLevel="1" x14ac:dyDescent="0.2">
      <c r="A217" s="3" t="s">
        <v>18</v>
      </c>
      <c r="B217" s="79" t="s">
        <v>248</v>
      </c>
      <c r="C217" s="4" t="s">
        <v>35</v>
      </c>
      <c r="D217" s="3" t="s">
        <v>36</v>
      </c>
      <c r="E217" s="17">
        <v>500</v>
      </c>
      <c r="F217" s="4" t="s">
        <v>35</v>
      </c>
      <c r="G217" s="146"/>
      <c r="H217" s="153">
        <v>840</v>
      </c>
      <c r="I217" s="154">
        <v>5280</v>
      </c>
      <c r="J217" s="154">
        <v>2880</v>
      </c>
      <c r="K217" s="154">
        <v>2760</v>
      </c>
      <c r="L217" s="154">
        <v>6240</v>
      </c>
      <c r="M217" s="154">
        <v>3360</v>
      </c>
      <c r="N217" s="154">
        <v>1920</v>
      </c>
      <c r="O217" s="153">
        <v>3120</v>
      </c>
      <c r="P217" s="161">
        <f>2760+648</f>
        <v>3408</v>
      </c>
      <c r="R217" s="129"/>
      <c r="S217" s="129"/>
      <c r="T217" s="129"/>
      <c r="U217" s="129"/>
      <c r="V217" s="170"/>
      <c r="W217" s="129"/>
      <c r="X217" s="129"/>
      <c r="Y217" s="129"/>
      <c r="Z217" s="168"/>
      <c r="AA217" s="129"/>
      <c r="AB217" s="129"/>
      <c r="AC217" s="129"/>
      <c r="AD217" s="129"/>
      <c r="AE217" s="129"/>
      <c r="AF217" s="129"/>
    </row>
    <row r="218" spans="1:32" ht="29.25" customHeight="1" outlineLevel="1" x14ac:dyDescent="0.2">
      <c r="A218" s="3" t="s">
        <v>19</v>
      </c>
      <c r="B218" s="79" t="s">
        <v>249</v>
      </c>
      <c r="C218" s="25" t="s">
        <v>178</v>
      </c>
      <c r="D218" s="3" t="s">
        <v>12</v>
      </c>
      <c r="E218" s="90">
        <v>270</v>
      </c>
      <c r="F218" s="25" t="s">
        <v>178</v>
      </c>
      <c r="G218" s="146"/>
      <c r="H218" s="153">
        <v>100</v>
      </c>
      <c r="I218" s="154">
        <v>100</v>
      </c>
      <c r="J218" s="154"/>
      <c r="K218" s="154"/>
      <c r="L218" s="154"/>
      <c r="M218" s="154"/>
      <c r="N218" s="154"/>
      <c r="O218" s="153"/>
      <c r="P218" s="161"/>
      <c r="R218" s="129"/>
      <c r="S218" s="129"/>
      <c r="T218" s="129"/>
      <c r="U218" s="129"/>
      <c r="V218" s="170"/>
      <c r="W218" s="129"/>
      <c r="X218" s="129"/>
      <c r="Y218" s="129"/>
      <c r="Z218" s="168"/>
      <c r="AA218" s="129"/>
      <c r="AB218" s="129"/>
      <c r="AC218" s="129"/>
      <c r="AD218" s="129"/>
      <c r="AE218" s="129"/>
      <c r="AF218" s="129"/>
    </row>
    <row r="219" spans="1:32" ht="29.25" customHeight="1" outlineLevel="1" x14ac:dyDescent="0.2">
      <c r="A219" s="3" t="s">
        <v>20</v>
      </c>
      <c r="B219" s="79" t="s">
        <v>248</v>
      </c>
      <c r="C219" s="25"/>
      <c r="D219" s="196" t="s">
        <v>565</v>
      </c>
      <c r="E219" s="90">
        <v>250</v>
      </c>
      <c r="F219" s="25" t="s">
        <v>574</v>
      </c>
      <c r="G219" s="146"/>
      <c r="H219" s="153">
        <v>6600</v>
      </c>
      <c r="I219" s="154">
        <v>13200</v>
      </c>
      <c r="J219" s="154">
        <v>6900</v>
      </c>
      <c r="K219" s="154">
        <v>14400</v>
      </c>
      <c r="L219" s="154">
        <f>270+7800</f>
        <v>8070</v>
      </c>
      <c r="M219" s="154">
        <f>8700+1200</f>
        <v>9900</v>
      </c>
      <c r="N219" s="154">
        <v>4200</v>
      </c>
      <c r="O219" s="153">
        <v>15300</v>
      </c>
      <c r="P219" s="161">
        <v>10800</v>
      </c>
      <c r="R219" s="129"/>
      <c r="S219" s="129"/>
      <c r="T219" s="129"/>
      <c r="U219" s="129"/>
      <c r="V219" s="170"/>
      <c r="W219" s="129"/>
      <c r="X219" s="129"/>
      <c r="Y219" s="129"/>
      <c r="Z219" s="168"/>
      <c r="AA219" s="129"/>
      <c r="AB219" s="129"/>
      <c r="AC219" s="129"/>
      <c r="AD219" s="129"/>
      <c r="AE219" s="129"/>
      <c r="AF219" s="129"/>
    </row>
    <row r="220" spans="1:32" ht="47.25" outlineLevel="1" x14ac:dyDescent="0.2">
      <c r="A220" s="3" t="s">
        <v>21</v>
      </c>
      <c r="B220" s="79" t="s">
        <v>248</v>
      </c>
      <c r="C220" s="25"/>
      <c r="D220" s="196" t="s">
        <v>550</v>
      </c>
      <c r="E220" s="90">
        <v>230</v>
      </c>
      <c r="F220" s="25" t="s">
        <v>178</v>
      </c>
      <c r="G220" s="146"/>
      <c r="H220" s="153">
        <f>11200+720</f>
        <v>11920</v>
      </c>
      <c r="I220" s="154">
        <f>29750+300</f>
        <v>30050</v>
      </c>
      <c r="J220" s="154">
        <v>10500</v>
      </c>
      <c r="K220" s="154">
        <v>44100</v>
      </c>
      <c r="L220" s="154">
        <v>15050</v>
      </c>
      <c r="M220" s="154">
        <v>18200</v>
      </c>
      <c r="N220" s="154">
        <v>9800</v>
      </c>
      <c r="O220" s="153">
        <v>16100</v>
      </c>
      <c r="P220" s="161">
        <f>18200+700</f>
        <v>18900</v>
      </c>
      <c r="R220" s="129"/>
      <c r="S220" s="129"/>
      <c r="T220" s="129"/>
      <c r="U220" s="129"/>
      <c r="V220" s="170"/>
      <c r="W220" s="129"/>
      <c r="X220" s="129"/>
      <c r="Y220" s="129"/>
      <c r="Z220" s="168"/>
      <c r="AA220" s="129"/>
      <c r="AB220" s="129"/>
      <c r="AC220" s="129"/>
      <c r="AD220" s="129"/>
      <c r="AE220" s="129"/>
      <c r="AF220" s="129"/>
    </row>
    <row r="221" spans="1:32" ht="31.5" x14ac:dyDescent="0.2">
      <c r="A221" s="181" t="s">
        <v>459</v>
      </c>
      <c r="B221" s="181"/>
      <c r="C221" s="25" t="s">
        <v>179</v>
      </c>
      <c r="D221" s="97" t="s">
        <v>12</v>
      </c>
      <c r="E221" s="90">
        <v>270</v>
      </c>
      <c r="F221" s="25" t="s">
        <v>454</v>
      </c>
      <c r="G221" s="146"/>
      <c r="H221" s="154"/>
      <c r="I221" s="154"/>
      <c r="J221" s="154"/>
      <c r="K221" s="154"/>
      <c r="L221" s="154"/>
      <c r="M221" s="154"/>
      <c r="N221" s="154"/>
      <c r="O221" s="153"/>
      <c r="P221" s="153"/>
      <c r="R221" s="129"/>
      <c r="S221" s="129"/>
      <c r="T221" s="129"/>
      <c r="U221" s="129"/>
      <c r="V221" s="170"/>
      <c r="W221" s="129"/>
      <c r="X221" s="129"/>
      <c r="Y221" s="129"/>
      <c r="Z221" s="168"/>
      <c r="AA221" s="129"/>
      <c r="AB221" s="129"/>
      <c r="AC221" s="129"/>
      <c r="AD221" s="129"/>
      <c r="AE221" s="129"/>
      <c r="AF221" s="129"/>
    </row>
    <row r="222" spans="1:32" ht="31.5" outlineLevel="1" x14ac:dyDescent="0.2">
      <c r="A222" s="3">
        <v>1</v>
      </c>
      <c r="B222" s="79" t="s">
        <v>250</v>
      </c>
      <c r="C222" s="25"/>
      <c r="D222" s="196" t="s">
        <v>565</v>
      </c>
      <c r="E222" s="90">
        <v>250</v>
      </c>
      <c r="F222" s="25" t="s">
        <v>454</v>
      </c>
      <c r="G222" s="146"/>
      <c r="H222" s="154"/>
      <c r="I222" s="154"/>
      <c r="J222" s="154"/>
      <c r="K222" s="154"/>
      <c r="L222" s="154"/>
      <c r="M222" s="154"/>
      <c r="N222" s="154"/>
      <c r="O222" s="153">
        <v>120</v>
      </c>
      <c r="P222" s="153"/>
      <c r="R222" s="129"/>
      <c r="S222" s="129"/>
      <c r="T222" s="129"/>
      <c r="U222" s="129"/>
      <c r="V222" s="170"/>
      <c r="W222" s="129"/>
      <c r="X222" s="129"/>
      <c r="Y222" s="129"/>
      <c r="Z222" s="168"/>
      <c r="AA222" s="129"/>
      <c r="AB222" s="129"/>
      <c r="AC222" s="129"/>
      <c r="AD222" s="129"/>
      <c r="AE222" s="129"/>
      <c r="AF222" s="129"/>
    </row>
    <row r="223" spans="1:32" s="125" customFormat="1" ht="31.5" outlineLevel="1" x14ac:dyDescent="0.2">
      <c r="A223" s="127">
        <v>2</v>
      </c>
      <c r="B223" s="130" t="s">
        <v>250</v>
      </c>
      <c r="C223" s="25"/>
      <c r="D223" s="196" t="s">
        <v>550</v>
      </c>
      <c r="E223" s="90">
        <v>230</v>
      </c>
      <c r="F223" s="25" t="s">
        <v>454</v>
      </c>
      <c r="G223" s="146"/>
      <c r="H223" s="154"/>
      <c r="I223" s="154"/>
      <c r="J223" s="154"/>
      <c r="K223" s="154"/>
      <c r="L223" s="154"/>
      <c r="M223" s="154"/>
      <c r="N223" s="154"/>
      <c r="O223" s="153"/>
      <c r="P223" s="153"/>
      <c r="R223" s="129"/>
      <c r="S223" s="129"/>
      <c r="T223" s="129"/>
      <c r="U223" s="129"/>
      <c r="V223" s="170"/>
      <c r="W223" s="129"/>
      <c r="X223" s="129"/>
      <c r="Y223" s="129"/>
      <c r="Z223" s="168"/>
      <c r="AA223" s="129"/>
      <c r="AB223" s="129"/>
      <c r="AC223" s="129"/>
      <c r="AD223" s="129"/>
      <c r="AE223" s="129"/>
      <c r="AF223" s="129"/>
    </row>
    <row r="224" spans="1:32" s="125" customFormat="1" ht="47.25" outlineLevel="1" x14ac:dyDescent="0.2">
      <c r="A224" s="127">
        <v>3</v>
      </c>
      <c r="B224" s="134" t="s">
        <v>250</v>
      </c>
      <c r="C224" s="24" t="s">
        <v>180</v>
      </c>
      <c r="D224" s="3" t="s">
        <v>12</v>
      </c>
      <c r="E224" s="90">
        <v>350</v>
      </c>
      <c r="F224" s="24" t="s">
        <v>180</v>
      </c>
      <c r="G224" s="146"/>
      <c r="H224" s="154"/>
      <c r="I224" s="154"/>
      <c r="J224" s="154"/>
      <c r="K224" s="154"/>
      <c r="L224" s="154"/>
      <c r="M224" s="154"/>
      <c r="N224" s="154"/>
      <c r="O224" s="153"/>
      <c r="P224" s="153"/>
      <c r="R224" s="129"/>
      <c r="S224" s="129"/>
      <c r="T224" s="129"/>
      <c r="U224" s="129"/>
      <c r="V224" s="170"/>
      <c r="W224" s="129"/>
      <c r="X224" s="129"/>
      <c r="Y224" s="129"/>
      <c r="Z224" s="168"/>
      <c r="AA224" s="129"/>
      <c r="AB224" s="129"/>
      <c r="AC224" s="129"/>
      <c r="AD224" s="129"/>
      <c r="AE224" s="129"/>
      <c r="AF224" s="129"/>
    </row>
    <row r="225" spans="1:32" s="125" customFormat="1" ht="31.5" outlineLevel="1" x14ac:dyDescent="0.2">
      <c r="A225" s="127">
        <v>4</v>
      </c>
      <c r="B225" s="134" t="s">
        <v>505</v>
      </c>
      <c r="C225" s="24"/>
      <c r="D225" s="196" t="s">
        <v>565</v>
      </c>
      <c r="E225" s="90">
        <v>300</v>
      </c>
      <c r="F225" s="24" t="s">
        <v>180</v>
      </c>
      <c r="G225" s="146"/>
      <c r="H225" s="154"/>
      <c r="I225" s="154"/>
      <c r="J225" s="154"/>
      <c r="K225" s="154"/>
      <c r="L225" s="154"/>
      <c r="M225" s="154">
        <v>3000</v>
      </c>
      <c r="N225" s="154">
        <v>12000</v>
      </c>
      <c r="O225" s="153">
        <v>16500</v>
      </c>
      <c r="P225" s="161">
        <v>16500</v>
      </c>
      <c r="R225" s="129">
        <v>1600</v>
      </c>
      <c r="S225" s="129"/>
      <c r="T225" s="129"/>
      <c r="U225" s="129"/>
      <c r="V225" s="170"/>
      <c r="W225" s="129"/>
      <c r="X225" s="129"/>
      <c r="Y225" s="129"/>
      <c r="Z225" s="168"/>
      <c r="AA225" s="129"/>
      <c r="AB225" s="129"/>
      <c r="AC225" s="129"/>
      <c r="AD225" s="129"/>
      <c r="AE225" s="129"/>
      <c r="AF225" s="129"/>
    </row>
    <row r="226" spans="1:32" ht="31.5" outlineLevel="1" x14ac:dyDescent="0.2">
      <c r="A226" s="3">
        <v>5</v>
      </c>
      <c r="B226" s="79" t="s">
        <v>208</v>
      </c>
      <c r="C226" s="24"/>
      <c r="D226" s="196" t="s">
        <v>550</v>
      </c>
      <c r="E226" s="90">
        <v>250</v>
      </c>
      <c r="F226" s="24" t="s">
        <v>180</v>
      </c>
      <c r="G226" s="146"/>
      <c r="H226" s="153">
        <v>4440</v>
      </c>
      <c r="I226" s="154">
        <v>5360</v>
      </c>
      <c r="J226" s="154">
        <v>2520</v>
      </c>
      <c r="K226" s="154">
        <v>4400</v>
      </c>
      <c r="L226" s="154">
        <v>3480</v>
      </c>
      <c r="M226" s="154">
        <f>2985+108</f>
        <v>3093</v>
      </c>
      <c r="N226" s="154">
        <v>3160</v>
      </c>
      <c r="O226" s="153">
        <f>5840+80</f>
        <v>5920</v>
      </c>
      <c r="P226" s="161">
        <f>3430+200+396</f>
        <v>4026</v>
      </c>
      <c r="Q226" s="162"/>
      <c r="R226" s="163"/>
      <c r="S226" s="163"/>
      <c r="T226" s="165"/>
      <c r="U226" s="165"/>
      <c r="V226" s="171"/>
      <c r="W226" s="166"/>
      <c r="X226" s="129"/>
      <c r="Y226" s="129"/>
      <c r="Z226" s="168"/>
      <c r="AA226" s="129"/>
      <c r="AB226" s="129"/>
      <c r="AC226" s="129"/>
      <c r="AD226" s="129"/>
      <c r="AE226" s="129"/>
      <c r="AF226" s="129"/>
    </row>
    <row r="227" spans="1:32" ht="31.5" outlineLevel="1" x14ac:dyDescent="0.25">
      <c r="A227" s="3">
        <v>6</v>
      </c>
      <c r="B227" s="91" t="s">
        <v>356</v>
      </c>
      <c r="C227" s="4" t="s">
        <v>181</v>
      </c>
      <c r="D227" s="3" t="s">
        <v>12</v>
      </c>
      <c r="E227" s="90">
        <v>350</v>
      </c>
      <c r="F227" s="4" t="s">
        <v>181</v>
      </c>
      <c r="G227" s="146"/>
      <c r="H227" s="153">
        <f>5350+100</f>
        <v>5450</v>
      </c>
      <c r="I227" s="154">
        <f>7650+50</f>
        <v>7700</v>
      </c>
      <c r="J227" s="154">
        <f>3350+35</f>
        <v>3385</v>
      </c>
      <c r="K227" s="154">
        <v>4540</v>
      </c>
      <c r="L227" s="154">
        <f>6200+90</f>
        <v>6290</v>
      </c>
      <c r="M227" s="154">
        <f>4400+400</f>
        <v>4800</v>
      </c>
      <c r="N227" s="154">
        <v>2400</v>
      </c>
      <c r="O227" s="153">
        <f>5500+180+45</f>
        <v>5725</v>
      </c>
      <c r="P227" s="161">
        <f>5950+300+450</f>
        <v>6700</v>
      </c>
      <c r="Q227" s="162"/>
      <c r="R227" s="163"/>
      <c r="S227" s="163"/>
      <c r="T227" s="165"/>
      <c r="U227" s="165"/>
      <c r="V227" s="171"/>
      <c r="W227" s="166"/>
      <c r="X227" s="129"/>
      <c r="Y227" s="129"/>
      <c r="Z227" s="168"/>
      <c r="AA227" s="129"/>
      <c r="AB227" s="129"/>
      <c r="AC227" s="129"/>
      <c r="AD227" s="129"/>
      <c r="AE227" s="129"/>
      <c r="AF227" s="129"/>
    </row>
    <row r="228" spans="1:32" ht="31.5" outlineLevel="1" x14ac:dyDescent="0.25">
      <c r="A228" s="3">
        <v>7</v>
      </c>
      <c r="B228" s="91" t="s">
        <v>356</v>
      </c>
      <c r="C228" s="4"/>
      <c r="D228" s="196" t="s">
        <v>565</v>
      </c>
      <c r="E228" s="90">
        <v>320</v>
      </c>
      <c r="F228" s="4" t="s">
        <v>181</v>
      </c>
      <c r="G228" s="146"/>
      <c r="H228" s="153">
        <v>9000</v>
      </c>
      <c r="I228" s="154">
        <v>25050</v>
      </c>
      <c r="J228" s="154">
        <f>27225+60</f>
        <v>27285</v>
      </c>
      <c r="K228" s="154">
        <v>17250</v>
      </c>
      <c r="L228" s="154">
        <v>4500</v>
      </c>
      <c r="M228" s="154">
        <f>2925+67.5</f>
        <v>2992.5</v>
      </c>
      <c r="N228" s="154">
        <v>3750</v>
      </c>
      <c r="O228" s="153">
        <v>3600</v>
      </c>
      <c r="P228" s="161">
        <f>2550+67.5</f>
        <v>2617.5</v>
      </c>
      <c r="Q228" s="162"/>
      <c r="R228" s="163"/>
      <c r="S228" s="163"/>
      <c r="T228" s="165"/>
      <c r="U228" s="165"/>
      <c r="V228" s="171"/>
      <c r="W228" s="166"/>
      <c r="X228" s="129"/>
      <c r="Y228" s="129"/>
      <c r="Z228" s="168"/>
      <c r="AA228" s="129"/>
      <c r="AB228" s="129"/>
      <c r="AC228" s="129"/>
      <c r="AD228" s="129"/>
      <c r="AE228" s="129"/>
      <c r="AF228" s="129"/>
    </row>
    <row r="229" spans="1:32" s="102" customFormat="1" outlineLevel="1" x14ac:dyDescent="0.25">
      <c r="A229" s="111">
        <v>8</v>
      </c>
      <c r="B229" s="119"/>
      <c r="C229" s="4"/>
      <c r="D229" s="196" t="s">
        <v>550</v>
      </c>
      <c r="E229" s="90">
        <v>300</v>
      </c>
      <c r="F229" s="4" t="s">
        <v>181</v>
      </c>
      <c r="G229" s="146"/>
      <c r="H229" s="154"/>
      <c r="I229" s="154"/>
      <c r="J229" s="154"/>
      <c r="K229" s="154"/>
      <c r="L229" s="154">
        <v>2080</v>
      </c>
      <c r="M229" s="154">
        <v>2160</v>
      </c>
      <c r="N229" s="154">
        <v>8576</v>
      </c>
      <c r="O229" s="153">
        <v>7280</v>
      </c>
      <c r="P229" s="161">
        <v>4840</v>
      </c>
      <c r="Q229" s="162"/>
      <c r="R229" s="163"/>
      <c r="S229" s="163"/>
      <c r="T229" s="165"/>
      <c r="U229" s="165"/>
      <c r="V229" s="171"/>
      <c r="W229" s="167"/>
      <c r="X229" s="129"/>
      <c r="Y229" s="129"/>
      <c r="Z229" s="168"/>
      <c r="AA229" s="129"/>
      <c r="AB229" s="129"/>
      <c r="AC229" s="129"/>
      <c r="AD229" s="129"/>
      <c r="AE229" s="129"/>
      <c r="AF229" s="129"/>
    </row>
    <row r="230" spans="1:32" ht="15.75" customHeight="1" outlineLevel="1" x14ac:dyDescent="0.2">
      <c r="A230" s="325">
        <v>9</v>
      </c>
      <c r="B230" s="186" t="s">
        <v>413</v>
      </c>
      <c r="C230" s="4" t="s">
        <v>111</v>
      </c>
      <c r="D230" s="3" t="s">
        <v>12</v>
      </c>
      <c r="E230" s="90">
        <v>350</v>
      </c>
      <c r="F230" s="4" t="s">
        <v>111</v>
      </c>
      <c r="G230" s="146"/>
      <c r="H230" s="154"/>
      <c r="I230" s="154"/>
      <c r="J230" s="154"/>
      <c r="K230" s="154"/>
      <c r="L230" s="154"/>
      <c r="M230" s="154"/>
      <c r="N230" s="154"/>
      <c r="O230" s="153"/>
      <c r="P230" s="153"/>
      <c r="Q230" s="162"/>
      <c r="R230" s="163"/>
      <c r="S230" s="163"/>
      <c r="T230" s="165"/>
      <c r="U230" s="165"/>
      <c r="V230" s="171"/>
      <c r="W230" s="166"/>
      <c r="X230" s="129"/>
      <c r="Y230" s="129"/>
      <c r="Z230" s="168"/>
      <c r="AA230" s="129"/>
      <c r="AB230" s="129"/>
      <c r="AC230" s="129"/>
      <c r="AD230" s="129"/>
      <c r="AE230" s="129"/>
      <c r="AF230" s="129"/>
    </row>
    <row r="231" spans="1:32" ht="51" customHeight="1" outlineLevel="1" x14ac:dyDescent="0.2">
      <c r="A231" s="326"/>
      <c r="B231" s="2" t="s">
        <v>403</v>
      </c>
      <c r="C231" s="4"/>
      <c r="D231" s="196" t="s">
        <v>565</v>
      </c>
      <c r="E231" s="90">
        <v>320</v>
      </c>
      <c r="F231" s="4" t="s">
        <v>111</v>
      </c>
      <c r="G231" s="146"/>
      <c r="H231" s="154"/>
      <c r="I231" s="154"/>
      <c r="J231" s="154"/>
      <c r="K231" s="154"/>
      <c r="L231" s="154"/>
      <c r="M231" s="154"/>
      <c r="N231" s="154"/>
      <c r="O231" s="153"/>
      <c r="P231" s="153"/>
      <c r="R231" s="129"/>
      <c r="S231" s="129"/>
      <c r="T231" s="129"/>
      <c r="U231" s="129"/>
      <c r="V231" s="170"/>
      <c r="W231" s="129"/>
      <c r="X231" s="129"/>
      <c r="Y231" s="129"/>
      <c r="Z231" s="168"/>
      <c r="AA231" s="129"/>
      <c r="AB231" s="129"/>
      <c r="AC231" s="129"/>
      <c r="AD231" s="129"/>
      <c r="AE231" s="129"/>
      <c r="AF231" s="129"/>
    </row>
    <row r="232" spans="1:32" outlineLevel="1" x14ac:dyDescent="0.2">
      <c r="A232" s="326"/>
      <c r="B232" s="2" t="s">
        <v>408</v>
      </c>
      <c r="C232" s="4"/>
      <c r="D232" s="196" t="s">
        <v>550</v>
      </c>
      <c r="E232" s="90">
        <v>300</v>
      </c>
      <c r="F232" s="4" t="s">
        <v>111</v>
      </c>
      <c r="G232" s="146"/>
      <c r="H232" s="154"/>
      <c r="I232" s="154"/>
      <c r="J232" s="154"/>
      <c r="K232" s="154"/>
      <c r="L232" s="154"/>
      <c r="M232" s="154"/>
      <c r="N232" s="154"/>
      <c r="O232" s="153"/>
      <c r="P232" s="153"/>
      <c r="R232" s="129"/>
      <c r="S232" s="129"/>
      <c r="T232" s="129"/>
      <c r="U232" s="129"/>
      <c r="V232" s="170"/>
      <c r="W232" s="129"/>
      <c r="X232" s="129"/>
      <c r="Y232" s="129"/>
      <c r="Z232" s="168"/>
      <c r="AA232" s="129"/>
      <c r="AB232" s="129"/>
      <c r="AC232" s="129"/>
      <c r="AD232" s="129"/>
      <c r="AE232" s="129"/>
      <c r="AF232" s="129"/>
    </row>
    <row r="233" spans="1:32" ht="31.5" outlineLevel="1" x14ac:dyDescent="0.2">
      <c r="A233" s="326"/>
      <c r="B233" s="54" t="s">
        <v>410</v>
      </c>
      <c r="C233" s="24" t="s">
        <v>183</v>
      </c>
      <c r="D233" s="196" t="s">
        <v>12</v>
      </c>
      <c r="E233" s="90">
        <v>450</v>
      </c>
      <c r="F233" s="24" t="s">
        <v>183</v>
      </c>
      <c r="G233" s="146"/>
      <c r="H233" s="154"/>
      <c r="I233" s="154"/>
      <c r="J233" s="154"/>
      <c r="K233" s="154"/>
      <c r="L233" s="154"/>
      <c r="M233" s="154"/>
      <c r="N233" s="154"/>
      <c r="O233" s="153"/>
      <c r="P233" s="153"/>
      <c r="R233" s="129"/>
      <c r="S233" s="129"/>
      <c r="T233" s="129"/>
      <c r="U233" s="129"/>
      <c r="V233" s="170"/>
      <c r="W233" s="129"/>
      <c r="X233" s="129"/>
      <c r="Y233" s="129"/>
      <c r="Z233" s="168"/>
      <c r="AA233" s="129"/>
      <c r="AB233" s="129"/>
      <c r="AC233" s="129"/>
      <c r="AD233" s="129"/>
      <c r="AE233" s="129"/>
      <c r="AF233" s="129"/>
    </row>
    <row r="234" spans="1:32" ht="31.5" x14ac:dyDescent="0.2">
      <c r="A234" s="181" t="s">
        <v>102</v>
      </c>
      <c r="B234" s="185"/>
      <c r="C234" s="24"/>
      <c r="D234" s="196" t="s">
        <v>565</v>
      </c>
      <c r="E234" s="90">
        <v>420</v>
      </c>
      <c r="F234" s="24" t="s">
        <v>183</v>
      </c>
      <c r="G234" s="146"/>
      <c r="H234" s="154"/>
      <c r="I234" s="154"/>
      <c r="J234" s="154"/>
      <c r="K234" s="154"/>
      <c r="L234" s="154"/>
      <c r="M234" s="154"/>
      <c r="N234" s="154"/>
      <c r="O234" s="153"/>
      <c r="P234" s="153"/>
      <c r="R234" s="129"/>
      <c r="S234" s="129"/>
      <c r="T234" s="129"/>
      <c r="U234" s="129"/>
      <c r="V234" s="170"/>
      <c r="W234" s="129"/>
      <c r="X234" s="129"/>
      <c r="Y234" s="129"/>
      <c r="Z234" s="168"/>
      <c r="AA234" s="129"/>
      <c r="AB234" s="129"/>
      <c r="AC234" s="129"/>
      <c r="AD234" s="129"/>
      <c r="AE234" s="129"/>
      <c r="AF234" s="129"/>
    </row>
    <row r="235" spans="1:32" ht="31.5" outlineLevel="1" x14ac:dyDescent="0.2">
      <c r="A235" s="3">
        <v>1</v>
      </c>
      <c r="B235" s="79" t="s">
        <v>358</v>
      </c>
      <c r="C235" s="24"/>
      <c r="D235" s="196" t="s">
        <v>550</v>
      </c>
      <c r="E235" s="90">
        <v>400</v>
      </c>
      <c r="F235" s="24" t="s">
        <v>183</v>
      </c>
      <c r="G235" s="146"/>
      <c r="H235" s="153">
        <v>640</v>
      </c>
      <c r="I235" s="154">
        <v>6000</v>
      </c>
      <c r="J235" s="154">
        <v>400</v>
      </c>
      <c r="K235" s="154">
        <v>5600</v>
      </c>
      <c r="L235" s="154">
        <v>4000</v>
      </c>
      <c r="M235" s="154">
        <v>6000</v>
      </c>
      <c r="N235" s="154">
        <v>1200</v>
      </c>
      <c r="O235" s="153"/>
      <c r="P235" s="161">
        <v>1600</v>
      </c>
      <c r="R235" s="129"/>
      <c r="S235" s="129"/>
      <c r="T235" s="129">
        <v>400</v>
      </c>
      <c r="U235" s="129"/>
      <c r="V235" s="170"/>
      <c r="W235" s="129"/>
      <c r="X235" s="129"/>
      <c r="Y235" s="129"/>
      <c r="Z235" s="168"/>
      <c r="AA235" s="129"/>
      <c r="AB235" s="129"/>
      <c r="AC235" s="129"/>
      <c r="AD235" s="129"/>
      <c r="AE235" s="129"/>
      <c r="AF235" s="129"/>
    </row>
    <row r="236" spans="1:32" ht="31.5" outlineLevel="1" x14ac:dyDescent="0.2">
      <c r="A236" s="3">
        <v>2</v>
      </c>
      <c r="B236" s="79" t="s">
        <v>251</v>
      </c>
      <c r="C236" s="24" t="s">
        <v>184</v>
      </c>
      <c r="D236" s="196" t="s">
        <v>12</v>
      </c>
      <c r="E236" s="90">
        <v>500</v>
      </c>
      <c r="F236" s="24" t="s">
        <v>184</v>
      </c>
      <c r="G236" s="146"/>
      <c r="H236" s="153">
        <v>3600</v>
      </c>
      <c r="I236" s="154"/>
      <c r="J236" s="154"/>
      <c r="K236" s="154">
        <v>400</v>
      </c>
      <c r="L236" s="154"/>
      <c r="M236" s="154"/>
      <c r="N236" s="154">
        <v>3200</v>
      </c>
      <c r="O236" s="153"/>
      <c r="P236" s="161"/>
      <c r="R236" s="129"/>
      <c r="S236" s="129"/>
      <c r="T236" s="129"/>
      <c r="U236" s="129"/>
      <c r="V236" s="170"/>
      <c r="W236" s="129"/>
      <c r="X236" s="129"/>
      <c r="Y236" s="129"/>
      <c r="Z236" s="168">
        <v>830</v>
      </c>
      <c r="AA236" s="129"/>
      <c r="AB236" s="129"/>
      <c r="AC236" s="129"/>
      <c r="AD236" s="129"/>
      <c r="AE236" s="129">
        <v>300</v>
      </c>
      <c r="AF236" s="129"/>
    </row>
    <row r="237" spans="1:32" ht="31.5" outlineLevel="1" x14ac:dyDescent="0.2">
      <c r="A237" s="3">
        <v>3</v>
      </c>
      <c r="B237" s="79" t="s">
        <v>253</v>
      </c>
      <c r="C237" s="24"/>
      <c r="D237" s="196" t="s">
        <v>565</v>
      </c>
      <c r="E237" s="90">
        <v>470</v>
      </c>
      <c r="F237" s="24" t="s">
        <v>184</v>
      </c>
      <c r="G237" s="146"/>
      <c r="H237" s="153">
        <f>33250+47600</f>
        <v>80850</v>
      </c>
      <c r="I237" s="154">
        <f>41300+31700</f>
        <v>73000</v>
      </c>
      <c r="J237" s="154">
        <f>33950+33950</f>
        <v>67900</v>
      </c>
      <c r="K237" s="154">
        <f>37800+39900</f>
        <v>77700</v>
      </c>
      <c r="L237" s="154">
        <f>30450+47600</f>
        <v>78050</v>
      </c>
      <c r="M237" s="154">
        <f>53550+51100</f>
        <v>104650</v>
      </c>
      <c r="N237" s="154">
        <f>39550+31500</f>
        <v>71050</v>
      </c>
      <c r="O237" s="153">
        <f>42700+15400</f>
        <v>58100</v>
      </c>
      <c r="P237" s="161">
        <f>10150+34300</f>
        <v>44450</v>
      </c>
      <c r="R237" s="129"/>
      <c r="S237" s="129"/>
      <c r="T237" s="129"/>
      <c r="U237" s="129"/>
      <c r="V237" s="170"/>
      <c r="W237" s="129"/>
      <c r="X237" s="129"/>
      <c r="Y237" s="129"/>
      <c r="Z237" s="168"/>
      <c r="AA237" s="129"/>
      <c r="AB237" s="129"/>
      <c r="AC237" s="129"/>
      <c r="AD237" s="129"/>
      <c r="AE237" s="129">
        <v>220</v>
      </c>
      <c r="AF237" s="129"/>
    </row>
    <row r="238" spans="1:32" ht="31.5" customHeight="1" outlineLevel="1" x14ac:dyDescent="0.2">
      <c r="A238" s="62"/>
      <c r="B238" s="80"/>
      <c r="C238" s="24"/>
      <c r="D238" s="196" t="s">
        <v>550</v>
      </c>
      <c r="E238" s="90">
        <v>450</v>
      </c>
      <c r="F238" s="24" t="s">
        <v>184</v>
      </c>
      <c r="G238" s="146"/>
      <c r="H238" s="153"/>
      <c r="I238" s="154"/>
      <c r="J238" s="154"/>
      <c r="K238" s="154"/>
      <c r="L238" s="154"/>
      <c r="M238" s="154"/>
      <c r="N238" s="154"/>
      <c r="O238" s="153"/>
      <c r="P238" s="161"/>
      <c r="R238" s="129"/>
      <c r="S238" s="129"/>
      <c r="T238" s="129"/>
      <c r="U238" s="129"/>
      <c r="V238" s="170"/>
      <c r="W238" s="129"/>
      <c r="X238" s="129"/>
      <c r="Y238" s="129"/>
      <c r="Z238" s="168"/>
      <c r="AA238" s="129"/>
      <c r="AB238" s="129"/>
      <c r="AC238" s="129"/>
      <c r="AD238" s="129"/>
      <c r="AE238" s="129"/>
      <c r="AF238" s="129"/>
    </row>
    <row r="239" spans="1:32" ht="33" customHeight="1" outlineLevel="1" x14ac:dyDescent="0.2">
      <c r="A239" s="6">
        <v>4</v>
      </c>
      <c r="B239" s="50" t="s">
        <v>364</v>
      </c>
      <c r="C239" s="24" t="s">
        <v>185</v>
      </c>
      <c r="D239" s="3" t="s">
        <v>12</v>
      </c>
      <c r="E239" s="90">
        <v>350</v>
      </c>
      <c r="F239" s="24" t="s">
        <v>185</v>
      </c>
      <c r="G239" s="146"/>
      <c r="H239" s="153">
        <v>11900</v>
      </c>
      <c r="I239" s="154">
        <v>4900</v>
      </c>
      <c r="J239" s="154">
        <v>2450</v>
      </c>
      <c r="K239" s="154">
        <f>10500+6300</f>
        <v>16800</v>
      </c>
      <c r="L239" s="154">
        <v>5950</v>
      </c>
      <c r="M239" s="154">
        <v>7350</v>
      </c>
      <c r="N239" s="154">
        <v>7000</v>
      </c>
      <c r="O239" s="153">
        <v>1750</v>
      </c>
      <c r="P239" s="161">
        <v>2100</v>
      </c>
      <c r="R239" s="129"/>
      <c r="S239" s="129">
        <v>530</v>
      </c>
      <c r="T239" s="129"/>
      <c r="U239" s="129"/>
      <c r="V239" s="170"/>
      <c r="W239" s="129"/>
      <c r="X239" s="129"/>
      <c r="Y239" s="129"/>
      <c r="Z239" s="168"/>
      <c r="AA239" s="129"/>
      <c r="AB239" s="129"/>
      <c r="AC239" s="129"/>
      <c r="AD239" s="129"/>
      <c r="AE239" s="129"/>
      <c r="AF239" s="129"/>
    </row>
    <row r="240" spans="1:32" ht="15.75" customHeight="1" outlineLevel="1" x14ac:dyDescent="0.2">
      <c r="A240" s="6">
        <v>5</v>
      </c>
      <c r="B240" s="50" t="s">
        <v>366</v>
      </c>
      <c r="C240" s="24"/>
      <c r="D240" s="196" t="s">
        <v>565</v>
      </c>
      <c r="E240" s="90">
        <v>320</v>
      </c>
      <c r="F240" s="24" t="s">
        <v>185</v>
      </c>
      <c r="G240" s="146"/>
      <c r="H240" s="153">
        <v>2100</v>
      </c>
      <c r="I240" s="154"/>
      <c r="J240" s="154"/>
      <c r="K240" s="154"/>
      <c r="L240" s="154"/>
      <c r="M240" s="154">
        <v>1200</v>
      </c>
      <c r="N240" s="154"/>
      <c r="O240" s="153">
        <v>1500</v>
      </c>
      <c r="P240" s="153"/>
      <c r="R240" s="129"/>
      <c r="S240" s="129"/>
      <c r="T240" s="129"/>
      <c r="U240" s="129"/>
      <c r="V240" s="170"/>
      <c r="W240" s="129"/>
      <c r="X240" s="129"/>
      <c r="Y240" s="129"/>
      <c r="Z240" s="168"/>
      <c r="AA240" s="129"/>
      <c r="AB240" s="129"/>
      <c r="AC240" s="129"/>
      <c r="AD240" s="129"/>
      <c r="AE240" s="129"/>
      <c r="AF240" s="129"/>
    </row>
    <row r="241" spans="1:32" ht="31.5" outlineLevel="1" x14ac:dyDescent="0.2">
      <c r="A241" s="6">
        <v>6</v>
      </c>
      <c r="B241" s="51" t="s">
        <v>384</v>
      </c>
      <c r="C241" s="24"/>
      <c r="D241" s="196" t="s">
        <v>550</v>
      </c>
      <c r="E241" s="90">
        <v>300</v>
      </c>
      <c r="F241" s="24" t="s">
        <v>185</v>
      </c>
      <c r="G241" s="146"/>
      <c r="H241" s="154"/>
      <c r="I241" s="154"/>
      <c r="J241" s="154"/>
      <c r="K241" s="154"/>
      <c r="L241" s="154"/>
      <c r="M241" s="154"/>
      <c r="N241" s="154"/>
      <c r="O241" s="153"/>
      <c r="P241" s="153"/>
      <c r="R241" s="129"/>
      <c r="S241" s="129"/>
      <c r="T241" s="129"/>
      <c r="U241" s="129"/>
      <c r="V241" s="170"/>
      <c r="W241" s="129"/>
      <c r="X241" s="129"/>
      <c r="Y241" s="129"/>
      <c r="Z241" s="168"/>
      <c r="AA241" s="129"/>
      <c r="AB241" s="129"/>
      <c r="AC241" s="129"/>
      <c r="AD241" s="129"/>
      <c r="AE241" s="129"/>
      <c r="AF241" s="129"/>
    </row>
    <row r="242" spans="1:32" ht="23.25" customHeight="1" x14ac:dyDescent="0.2">
      <c r="A242" s="176" t="s">
        <v>414</v>
      </c>
      <c r="B242" s="177"/>
      <c r="C242" s="4" t="s">
        <v>176</v>
      </c>
      <c r="D242" s="3" t="s">
        <v>12</v>
      </c>
      <c r="E242" s="90">
        <v>400</v>
      </c>
      <c r="F242" s="4" t="s">
        <v>176</v>
      </c>
      <c r="G242" s="146"/>
      <c r="H242" s="154"/>
      <c r="I242" s="154"/>
      <c r="J242" s="154"/>
      <c r="K242" s="154"/>
      <c r="L242" s="154"/>
      <c r="M242" s="154"/>
      <c r="N242" s="154"/>
      <c r="O242" s="153"/>
      <c r="P242" s="153"/>
      <c r="R242" s="129"/>
      <c r="S242" s="129"/>
      <c r="T242" s="129"/>
      <c r="U242" s="129"/>
      <c r="V242" s="170"/>
      <c r="W242" s="129"/>
      <c r="X242" s="129"/>
      <c r="Y242" s="129"/>
      <c r="Z242" s="168"/>
      <c r="AA242" s="129"/>
      <c r="AB242" s="129"/>
      <c r="AC242" s="129"/>
      <c r="AD242" s="129"/>
      <c r="AE242" s="129"/>
      <c r="AF242" s="129"/>
    </row>
    <row r="243" spans="1:32" ht="57" customHeight="1" outlineLevel="1" x14ac:dyDescent="0.2">
      <c r="A243" s="3">
        <v>1</v>
      </c>
      <c r="B243" s="79" t="s">
        <v>254</v>
      </c>
      <c r="C243" s="4"/>
      <c r="D243" s="196" t="s">
        <v>565</v>
      </c>
      <c r="E243" s="90">
        <v>370</v>
      </c>
      <c r="F243" s="4" t="s">
        <v>176</v>
      </c>
      <c r="G243" s="146"/>
      <c r="H243" s="153">
        <f>60050+78650+2750</f>
        <v>141450</v>
      </c>
      <c r="I243" s="154">
        <f>69520+880+43450</f>
        <v>113850</v>
      </c>
      <c r="J243" s="154">
        <f>67100+40150</f>
        <v>107250</v>
      </c>
      <c r="K243" s="154">
        <f>102850+54450</f>
        <v>157300</v>
      </c>
      <c r="L243" s="154">
        <f>62150+61600</f>
        <v>123750</v>
      </c>
      <c r="M243" s="154">
        <f>100375+57200</f>
        <v>157575</v>
      </c>
      <c r="N243" s="154">
        <f>79695+65450+440</f>
        <v>145585</v>
      </c>
      <c r="O243" s="153">
        <f>87890+70400+3850+2640</f>
        <v>164780</v>
      </c>
      <c r="P243" s="161">
        <f>66550+108900+440</f>
        <v>175890</v>
      </c>
      <c r="R243" s="129"/>
      <c r="S243" s="129">
        <v>1050</v>
      </c>
      <c r="T243" s="129"/>
      <c r="U243" s="129"/>
      <c r="V243" s="170"/>
      <c r="W243" s="129"/>
      <c r="X243" s="129"/>
      <c r="Y243" s="129"/>
      <c r="Z243" s="168"/>
      <c r="AA243" s="129"/>
      <c r="AB243" s="129"/>
      <c r="AC243" s="129"/>
      <c r="AD243" s="129"/>
      <c r="AE243" s="129"/>
      <c r="AF243" s="129"/>
    </row>
    <row r="244" spans="1:32" ht="31.5" outlineLevel="1" x14ac:dyDescent="0.2">
      <c r="A244" s="3">
        <v>2</v>
      </c>
      <c r="B244" s="79" t="s">
        <v>370</v>
      </c>
      <c r="C244" s="4"/>
      <c r="D244" s="196" t="s">
        <v>550</v>
      </c>
      <c r="E244" s="90">
        <v>350</v>
      </c>
      <c r="F244" s="4" t="s">
        <v>176</v>
      </c>
      <c r="G244" s="146"/>
      <c r="H244" s="153">
        <v>10500</v>
      </c>
      <c r="I244" s="154">
        <f>16100+350</f>
        <v>16450</v>
      </c>
      <c r="J244" s="154">
        <v>24500</v>
      </c>
      <c r="K244" s="154"/>
      <c r="L244" s="154"/>
      <c r="M244" s="154"/>
      <c r="N244" s="154"/>
      <c r="O244" s="153">
        <v>2000</v>
      </c>
      <c r="P244" s="161"/>
      <c r="R244" s="129"/>
      <c r="S244" s="129"/>
      <c r="T244" s="129"/>
      <c r="U244" s="129"/>
      <c r="V244" s="170"/>
      <c r="W244" s="129"/>
      <c r="X244" s="129"/>
      <c r="Y244" s="129"/>
      <c r="Z244" s="168"/>
      <c r="AA244" s="129"/>
      <c r="AB244" s="129"/>
      <c r="AC244" s="129"/>
      <c r="AD244" s="129"/>
      <c r="AE244" s="129"/>
      <c r="AF244" s="129"/>
    </row>
    <row r="245" spans="1:32" ht="35.25" customHeight="1" outlineLevel="1" x14ac:dyDescent="0.2">
      <c r="A245" s="3">
        <v>3</v>
      </c>
      <c r="B245" s="79" t="s">
        <v>255</v>
      </c>
      <c r="C245" s="4" t="s">
        <v>189</v>
      </c>
      <c r="D245" s="3" t="s">
        <v>12</v>
      </c>
      <c r="E245" s="90">
        <v>230</v>
      </c>
      <c r="F245" s="4" t="s">
        <v>189</v>
      </c>
      <c r="G245" s="146"/>
      <c r="H245" s="153">
        <v>1050</v>
      </c>
      <c r="I245" s="154">
        <v>700</v>
      </c>
      <c r="J245" s="154">
        <v>4200</v>
      </c>
      <c r="K245" s="154"/>
      <c r="L245" s="154"/>
      <c r="M245" s="154">
        <f>800+1200</f>
        <v>2000</v>
      </c>
      <c r="N245" s="154"/>
      <c r="O245" s="153">
        <f>3600+400</f>
        <v>4000</v>
      </c>
      <c r="P245" s="161">
        <v>2400</v>
      </c>
      <c r="R245" s="129"/>
      <c r="S245" s="129"/>
      <c r="T245" s="129"/>
      <c r="U245" s="129"/>
      <c r="V245" s="170"/>
      <c r="W245" s="129"/>
      <c r="X245" s="129"/>
      <c r="Y245" s="129"/>
      <c r="Z245" s="168"/>
      <c r="AA245" s="129"/>
      <c r="AB245" s="129"/>
      <c r="AC245" s="129"/>
      <c r="AD245" s="129"/>
      <c r="AE245" s="129"/>
      <c r="AF245" s="129"/>
    </row>
    <row r="246" spans="1:32" outlineLevel="1" x14ac:dyDescent="0.2">
      <c r="A246" s="3">
        <v>4</v>
      </c>
      <c r="B246" s="79" t="s">
        <v>370</v>
      </c>
      <c r="C246" s="4"/>
      <c r="D246" s="196" t="s">
        <v>565</v>
      </c>
      <c r="E246" s="90">
        <v>200</v>
      </c>
      <c r="F246" s="4" t="s">
        <v>189</v>
      </c>
      <c r="G246" s="146"/>
      <c r="H246" s="154"/>
      <c r="I246" s="154"/>
      <c r="J246" s="154"/>
      <c r="K246" s="154"/>
      <c r="L246" s="154"/>
      <c r="M246" s="154"/>
      <c r="N246" s="154"/>
      <c r="O246" s="153"/>
      <c r="P246" s="153"/>
      <c r="R246" s="129"/>
      <c r="S246" s="129"/>
      <c r="T246" s="129"/>
      <c r="U246" s="129"/>
      <c r="V246" s="170"/>
      <c r="W246" s="129"/>
      <c r="X246" s="129"/>
      <c r="Y246" s="129"/>
      <c r="Z246" s="168"/>
      <c r="AA246" s="129"/>
      <c r="AB246" s="129"/>
      <c r="AC246" s="129"/>
      <c r="AD246" s="129"/>
      <c r="AE246" s="129"/>
      <c r="AF246" s="129"/>
    </row>
    <row r="247" spans="1:32" ht="31.5" outlineLevel="1" x14ac:dyDescent="0.2">
      <c r="A247" s="3">
        <v>5</v>
      </c>
      <c r="B247" s="79" t="s">
        <v>256</v>
      </c>
      <c r="C247" s="4"/>
      <c r="D247" s="196" t="s">
        <v>550</v>
      </c>
      <c r="E247" s="90">
        <v>170</v>
      </c>
      <c r="F247" s="4" t="s">
        <v>189</v>
      </c>
      <c r="G247" s="146"/>
      <c r="H247" s="154"/>
      <c r="I247" s="154"/>
      <c r="J247" s="154"/>
      <c r="K247" s="154"/>
      <c r="L247" s="154"/>
      <c r="M247" s="154"/>
      <c r="N247" s="154"/>
      <c r="O247" s="153"/>
      <c r="P247" s="153"/>
      <c r="R247" s="129"/>
      <c r="S247" s="129"/>
      <c r="T247" s="129"/>
      <c r="U247" s="129"/>
      <c r="V247" s="170"/>
      <c r="W247" s="129"/>
      <c r="X247" s="129"/>
      <c r="Y247" s="129"/>
      <c r="Z247" s="168"/>
      <c r="AA247" s="129"/>
      <c r="AB247" s="129"/>
      <c r="AC247" s="129"/>
      <c r="AD247" s="129"/>
      <c r="AE247" s="129"/>
      <c r="AF247" s="129"/>
    </row>
    <row r="248" spans="1:32" ht="23.25" x14ac:dyDescent="0.2">
      <c r="A248" s="176" t="s">
        <v>415</v>
      </c>
      <c r="B248" s="177"/>
      <c r="C248" s="4" t="s">
        <v>187</v>
      </c>
      <c r="D248" s="3" t="s">
        <v>12</v>
      </c>
      <c r="E248" s="90">
        <v>550</v>
      </c>
      <c r="F248" s="4" t="s">
        <v>187</v>
      </c>
      <c r="G248" s="146"/>
      <c r="H248" s="154"/>
      <c r="I248" s="154"/>
      <c r="J248" s="154"/>
      <c r="K248" s="154"/>
      <c r="L248" s="154"/>
      <c r="M248" s="154"/>
      <c r="N248" s="154"/>
      <c r="O248" s="153"/>
      <c r="P248" s="153"/>
      <c r="R248" s="129"/>
      <c r="S248" s="129"/>
      <c r="T248" s="129"/>
      <c r="U248" s="129"/>
      <c r="V248" s="170"/>
      <c r="W248" s="129"/>
      <c r="X248" s="129"/>
      <c r="Y248" s="129"/>
      <c r="Z248" s="168"/>
      <c r="AA248" s="129"/>
      <c r="AB248" s="129"/>
      <c r="AC248" s="129"/>
      <c r="AD248" s="129"/>
      <c r="AE248" s="129"/>
      <c r="AF248" s="129"/>
    </row>
    <row r="249" spans="1:32" ht="18.75" customHeight="1" outlineLevel="1" x14ac:dyDescent="0.2">
      <c r="A249" s="3">
        <v>1</v>
      </c>
      <c r="B249" s="79" t="s">
        <v>259</v>
      </c>
      <c r="C249" s="4"/>
      <c r="D249" s="196" t="s">
        <v>565</v>
      </c>
      <c r="E249" s="90">
        <v>500</v>
      </c>
      <c r="F249" s="4" t="s">
        <v>187</v>
      </c>
      <c r="G249" s="146"/>
      <c r="H249" s="153">
        <v>77800</v>
      </c>
      <c r="I249" s="154">
        <v>25000</v>
      </c>
      <c r="J249" s="154">
        <v>29600</v>
      </c>
      <c r="K249" s="154">
        <v>14800</v>
      </c>
      <c r="L249" s="154">
        <v>1200</v>
      </c>
      <c r="M249" s="154">
        <f>16000+5200</f>
        <v>21200</v>
      </c>
      <c r="N249" s="154">
        <f>37800+7200</f>
        <v>45000</v>
      </c>
      <c r="O249" s="153">
        <f>26000+7700+900</f>
        <v>34600</v>
      </c>
      <c r="P249" s="161">
        <f>43000+4000+720</f>
        <v>47720</v>
      </c>
      <c r="R249" s="129"/>
      <c r="S249" s="129">
        <v>140</v>
      </c>
      <c r="T249" s="129"/>
      <c r="U249" s="129"/>
      <c r="V249" s="170"/>
      <c r="W249" s="129"/>
      <c r="X249" s="129"/>
      <c r="Y249" s="129"/>
      <c r="Z249" s="168"/>
      <c r="AA249" s="129"/>
      <c r="AB249" s="129"/>
      <c r="AC249" s="129"/>
      <c r="AD249" s="129">
        <v>200</v>
      </c>
      <c r="AE249" s="129">
        <v>300</v>
      </c>
      <c r="AF249" s="129"/>
    </row>
    <row r="250" spans="1:32" outlineLevel="1" x14ac:dyDescent="0.2">
      <c r="A250" s="3">
        <v>2</v>
      </c>
      <c r="B250" s="79" t="s">
        <v>259</v>
      </c>
      <c r="C250" s="4"/>
      <c r="D250" s="196" t="s">
        <v>550</v>
      </c>
      <c r="E250" s="90">
        <v>450</v>
      </c>
      <c r="F250" s="4" t="s">
        <v>187</v>
      </c>
      <c r="G250" s="146"/>
      <c r="H250" s="153">
        <v>1320</v>
      </c>
      <c r="I250" s="154"/>
      <c r="J250" s="154"/>
      <c r="K250" s="154"/>
      <c r="L250" s="154"/>
      <c r="M250" s="154"/>
      <c r="N250" s="154"/>
      <c r="O250" s="153"/>
      <c r="P250" s="161">
        <f>880+450</f>
        <v>1330</v>
      </c>
      <c r="R250" s="129"/>
      <c r="S250" s="129"/>
      <c r="T250" s="129"/>
      <c r="U250" s="129"/>
      <c r="V250" s="170"/>
      <c r="W250" s="129"/>
      <c r="X250" s="129"/>
      <c r="Y250" s="129"/>
      <c r="Z250" s="168"/>
      <c r="AA250" s="129"/>
      <c r="AB250" s="129"/>
      <c r="AC250" s="129"/>
      <c r="AD250" s="129"/>
      <c r="AE250" s="129"/>
      <c r="AF250" s="129"/>
    </row>
    <row r="251" spans="1:32" s="125" customFormat="1" ht="23.25" customHeight="1" outlineLevel="1" x14ac:dyDescent="0.2">
      <c r="A251" s="178" t="s">
        <v>511</v>
      </c>
      <c r="B251" s="179"/>
      <c r="C251" s="4" t="s">
        <v>182</v>
      </c>
      <c r="D251" s="3" t="s">
        <v>12</v>
      </c>
      <c r="E251" s="90">
        <v>400</v>
      </c>
      <c r="F251" s="4" t="s">
        <v>182</v>
      </c>
      <c r="G251" s="146"/>
      <c r="H251" s="154"/>
      <c r="I251" s="154"/>
      <c r="J251" s="154"/>
      <c r="K251" s="154"/>
      <c r="L251" s="154"/>
      <c r="M251" s="154"/>
      <c r="N251" s="154"/>
      <c r="O251" s="153"/>
      <c r="P251" s="153"/>
      <c r="R251" s="129"/>
      <c r="S251" s="129"/>
      <c r="T251" s="129"/>
      <c r="U251" s="129"/>
      <c r="V251" s="170"/>
      <c r="W251" s="129"/>
      <c r="X251" s="129"/>
      <c r="Y251" s="129"/>
      <c r="Z251" s="168"/>
      <c r="AA251" s="129"/>
      <c r="AB251" s="129"/>
      <c r="AC251" s="129"/>
      <c r="AD251" s="129"/>
      <c r="AE251" s="129"/>
      <c r="AF251" s="129"/>
    </row>
    <row r="252" spans="1:32" s="125" customFormat="1" outlineLevel="1" x14ac:dyDescent="0.2">
      <c r="A252" s="136">
        <v>1</v>
      </c>
      <c r="B252" s="50"/>
      <c r="C252" s="4"/>
      <c r="D252" s="196" t="s">
        <v>565</v>
      </c>
      <c r="E252" s="90">
        <v>370</v>
      </c>
      <c r="F252" s="4" t="s">
        <v>182</v>
      </c>
      <c r="G252" s="146"/>
      <c r="H252" s="154"/>
      <c r="I252" s="154"/>
      <c r="J252" s="154"/>
      <c r="K252" s="154"/>
      <c r="L252" s="154"/>
      <c r="M252" s="154"/>
      <c r="N252" s="154"/>
      <c r="O252" s="153">
        <v>1600</v>
      </c>
      <c r="P252" s="153"/>
      <c r="R252" s="129"/>
      <c r="S252" s="129"/>
      <c r="T252" s="129"/>
      <c r="U252" s="129"/>
      <c r="V252" s="170"/>
      <c r="W252" s="129"/>
      <c r="X252" s="129"/>
      <c r="Y252" s="129"/>
      <c r="Z252" s="168"/>
      <c r="AA252" s="129"/>
      <c r="AB252" s="129"/>
      <c r="AC252" s="129"/>
      <c r="AD252" s="129"/>
      <c r="AE252" s="129"/>
      <c r="AF252" s="129"/>
    </row>
    <row r="253" spans="1:32" ht="23.25" x14ac:dyDescent="0.2">
      <c r="A253" s="176" t="s">
        <v>461</v>
      </c>
      <c r="B253" s="177"/>
      <c r="C253" s="4"/>
      <c r="D253" s="196" t="s">
        <v>550</v>
      </c>
      <c r="E253" s="90">
        <v>350</v>
      </c>
      <c r="F253" s="4" t="s">
        <v>182</v>
      </c>
      <c r="G253" s="146"/>
      <c r="H253" s="154"/>
      <c r="I253" s="154"/>
      <c r="J253" s="154"/>
      <c r="K253" s="154"/>
      <c r="L253" s="154"/>
      <c r="M253" s="154"/>
      <c r="N253" s="154"/>
      <c r="O253" s="153"/>
      <c r="P253" s="153"/>
      <c r="R253" s="129"/>
      <c r="S253" s="129"/>
      <c r="T253" s="129"/>
      <c r="U253" s="129"/>
      <c r="V253" s="170"/>
      <c r="W253" s="129"/>
      <c r="X253" s="129"/>
      <c r="Y253" s="129"/>
      <c r="Z253" s="168"/>
      <c r="AA253" s="129"/>
      <c r="AB253" s="129"/>
      <c r="AC253" s="129"/>
      <c r="AD253" s="129"/>
      <c r="AE253" s="129"/>
      <c r="AF253" s="129"/>
    </row>
    <row r="254" spans="1:32" ht="126" outlineLevel="1" x14ac:dyDescent="0.2">
      <c r="A254" s="3">
        <v>1</v>
      </c>
      <c r="B254" s="322" t="s">
        <v>375</v>
      </c>
      <c r="C254" s="121" t="s">
        <v>481</v>
      </c>
      <c r="D254" s="122" t="s">
        <v>12</v>
      </c>
      <c r="E254" s="123">
        <v>350</v>
      </c>
      <c r="F254" s="121" t="s">
        <v>479</v>
      </c>
      <c r="G254" s="146"/>
      <c r="H254" s="154"/>
      <c r="I254" s="154"/>
      <c r="J254" s="154"/>
      <c r="K254" s="154"/>
      <c r="L254" s="154"/>
      <c r="M254" s="154"/>
      <c r="N254" s="154"/>
      <c r="O254" s="153"/>
      <c r="P254" s="153"/>
      <c r="R254" s="129"/>
      <c r="S254" s="129"/>
      <c r="T254" s="129"/>
      <c r="U254" s="129"/>
      <c r="V254" s="170"/>
      <c r="W254" s="129"/>
      <c r="X254" s="129"/>
      <c r="Y254" s="129"/>
      <c r="Z254" s="168"/>
      <c r="AA254" s="129"/>
      <c r="AB254" s="129"/>
      <c r="AC254" s="129"/>
      <c r="AD254" s="129"/>
      <c r="AE254" s="129"/>
      <c r="AF254" s="129"/>
    </row>
    <row r="255" spans="1:32" ht="126" outlineLevel="1" x14ac:dyDescent="0.2">
      <c r="A255" s="3">
        <v>2</v>
      </c>
      <c r="B255" s="323"/>
      <c r="C255" s="126"/>
      <c r="D255" s="196" t="s">
        <v>565</v>
      </c>
      <c r="E255" s="128">
        <v>300</v>
      </c>
      <c r="F255" s="126" t="s">
        <v>479</v>
      </c>
      <c r="G255" s="146"/>
      <c r="H255" s="154"/>
      <c r="I255" s="154">
        <v>10800</v>
      </c>
      <c r="J255" s="154">
        <v>6600</v>
      </c>
      <c r="K255" s="154">
        <v>6600</v>
      </c>
      <c r="L255" s="154">
        <v>3600</v>
      </c>
      <c r="M255" s="154">
        <v>3000</v>
      </c>
      <c r="N255" s="154"/>
      <c r="O255" s="153"/>
      <c r="P255" s="153"/>
      <c r="R255" s="129"/>
      <c r="S255" s="129"/>
      <c r="T255" s="129"/>
      <c r="U255" s="129"/>
      <c r="V255" s="170"/>
      <c r="W255" s="129"/>
      <c r="X255" s="129"/>
      <c r="Y255" s="129"/>
      <c r="Z255" s="168"/>
      <c r="AA255" s="129"/>
      <c r="AB255" s="129"/>
      <c r="AC255" s="129"/>
      <c r="AD255" s="129"/>
      <c r="AE255" s="129"/>
      <c r="AF255" s="129"/>
    </row>
    <row r="256" spans="1:32" ht="126" outlineLevel="1" x14ac:dyDescent="0.2">
      <c r="A256" s="97">
        <v>3</v>
      </c>
      <c r="B256" s="323"/>
      <c r="C256" s="126"/>
      <c r="D256" s="196" t="s">
        <v>550</v>
      </c>
      <c r="E256" s="128">
        <v>250</v>
      </c>
      <c r="F256" s="126" t="s">
        <v>479</v>
      </c>
      <c r="G256" s="146"/>
      <c r="H256" s="154"/>
      <c r="I256" s="154"/>
      <c r="J256" s="154"/>
      <c r="K256" s="154"/>
      <c r="L256" s="154"/>
      <c r="M256" s="154"/>
      <c r="N256" s="154"/>
      <c r="O256" s="153"/>
      <c r="P256" s="153"/>
      <c r="R256" s="129"/>
      <c r="S256" s="129">
        <v>600</v>
      </c>
      <c r="T256" s="129"/>
      <c r="U256" s="129"/>
      <c r="V256" s="170"/>
      <c r="W256" s="129"/>
      <c r="X256" s="129"/>
      <c r="Y256" s="129"/>
      <c r="Z256" s="168"/>
      <c r="AA256" s="129"/>
      <c r="AB256" s="129"/>
      <c r="AC256" s="129"/>
      <c r="AD256" s="129"/>
      <c r="AE256" s="129">
        <v>700</v>
      </c>
      <c r="AF256" s="129"/>
    </row>
    <row r="257" spans="1:32" ht="63" outlineLevel="1" x14ac:dyDescent="0.2">
      <c r="A257" s="97">
        <v>4</v>
      </c>
      <c r="B257" s="324"/>
      <c r="C257" s="121" t="s">
        <v>482</v>
      </c>
      <c r="D257" s="196" t="s">
        <v>12</v>
      </c>
      <c r="E257" s="128">
        <v>220</v>
      </c>
      <c r="F257" s="121" t="s">
        <v>483</v>
      </c>
      <c r="G257" s="146"/>
      <c r="H257" s="154"/>
      <c r="I257" s="154"/>
      <c r="J257" s="154"/>
      <c r="K257" s="154">
        <v>2100</v>
      </c>
      <c r="L257" s="154">
        <v>35700</v>
      </c>
      <c r="M257" s="154"/>
      <c r="N257" s="154"/>
      <c r="O257" s="153"/>
      <c r="P257" s="153"/>
      <c r="R257" s="129"/>
      <c r="S257" s="129"/>
      <c r="T257" s="129"/>
      <c r="U257" s="129"/>
      <c r="V257" s="170"/>
      <c r="W257" s="129"/>
      <c r="X257" s="129"/>
      <c r="Y257" s="129"/>
      <c r="Z257" s="168"/>
      <c r="AA257" s="129"/>
      <c r="AB257" s="129"/>
      <c r="AC257" s="129"/>
      <c r="AD257" s="129"/>
      <c r="AE257" s="129"/>
      <c r="AF257" s="129"/>
    </row>
    <row r="258" spans="1:32" ht="63" x14ac:dyDescent="0.2">
      <c r="A258" s="176" t="s">
        <v>416</v>
      </c>
      <c r="B258" s="177"/>
      <c r="C258" s="126"/>
      <c r="D258" s="196" t="s">
        <v>565</v>
      </c>
      <c r="E258" s="128">
        <v>200</v>
      </c>
      <c r="F258" s="126" t="s">
        <v>483</v>
      </c>
      <c r="G258" s="146"/>
      <c r="H258" s="154"/>
      <c r="I258" s="154"/>
      <c r="J258" s="154"/>
      <c r="K258" s="154"/>
      <c r="L258" s="154"/>
      <c r="M258" s="154"/>
      <c r="N258" s="154"/>
      <c r="O258" s="153"/>
      <c r="P258" s="153"/>
      <c r="R258" s="129"/>
      <c r="S258" s="129"/>
      <c r="T258" s="129"/>
      <c r="U258" s="129"/>
      <c r="V258" s="170"/>
      <c r="W258" s="129"/>
      <c r="X258" s="129"/>
      <c r="Y258" s="129"/>
      <c r="Z258" s="168"/>
      <c r="AA258" s="129"/>
      <c r="AB258" s="129"/>
      <c r="AC258" s="129"/>
      <c r="AD258" s="129"/>
      <c r="AE258" s="129"/>
      <c r="AF258" s="129"/>
    </row>
    <row r="259" spans="1:32" ht="63" outlineLevel="1" x14ac:dyDescent="0.2">
      <c r="A259" s="3">
        <v>1</v>
      </c>
      <c r="B259" s="79" t="s">
        <v>260</v>
      </c>
      <c r="C259" s="126"/>
      <c r="D259" s="196" t="s">
        <v>550</v>
      </c>
      <c r="E259" s="128">
        <v>180</v>
      </c>
      <c r="F259" s="126" t="s">
        <v>483</v>
      </c>
      <c r="G259" s="146"/>
      <c r="H259" s="154"/>
      <c r="I259" s="154"/>
      <c r="J259" s="154"/>
      <c r="K259" s="154"/>
      <c r="L259" s="154"/>
      <c r="M259" s="154"/>
      <c r="N259" s="154"/>
      <c r="O259" s="153"/>
      <c r="P259" s="153"/>
      <c r="R259" s="129"/>
      <c r="S259" s="129"/>
      <c r="T259" s="129"/>
      <c r="U259" s="129"/>
      <c r="V259" s="170"/>
      <c r="W259" s="129"/>
      <c r="X259" s="129"/>
      <c r="Y259" s="129"/>
      <c r="Z259" s="168"/>
      <c r="AA259" s="129"/>
      <c r="AB259" s="129"/>
      <c r="AC259" s="129"/>
      <c r="AD259" s="129"/>
      <c r="AE259" s="129"/>
      <c r="AF259" s="129"/>
    </row>
    <row r="260" spans="1:32" s="125" customFormat="1" ht="78.75" outlineLevel="1" x14ac:dyDescent="0.2">
      <c r="A260" s="136">
        <v>2</v>
      </c>
      <c r="B260" s="50" t="s">
        <v>373</v>
      </c>
      <c r="C260" s="121" t="s">
        <v>484</v>
      </c>
      <c r="D260" s="122" t="s">
        <v>12</v>
      </c>
      <c r="E260" s="123">
        <v>400</v>
      </c>
      <c r="F260" s="121" t="s">
        <v>485</v>
      </c>
      <c r="G260" s="146"/>
      <c r="H260" s="153">
        <v>7200</v>
      </c>
      <c r="I260" s="154">
        <v>600</v>
      </c>
      <c r="J260" s="154"/>
      <c r="K260" s="154"/>
      <c r="L260" s="154"/>
      <c r="M260" s="154">
        <v>600</v>
      </c>
      <c r="N260" s="154">
        <v>6000</v>
      </c>
      <c r="O260" s="153">
        <v>600</v>
      </c>
      <c r="P260" s="153"/>
      <c r="R260" s="129"/>
      <c r="S260" s="129"/>
      <c r="T260" s="129"/>
      <c r="U260" s="129"/>
      <c r="V260" s="170"/>
      <c r="W260" s="129"/>
      <c r="X260" s="129"/>
      <c r="Y260" s="129"/>
      <c r="Z260" s="168">
        <v>970</v>
      </c>
      <c r="AA260" s="129"/>
      <c r="AB260" s="129"/>
      <c r="AC260" s="129"/>
      <c r="AD260" s="129"/>
      <c r="AE260" s="129"/>
      <c r="AF260" s="129"/>
    </row>
    <row r="261" spans="1:32" ht="78.75" outlineLevel="1" x14ac:dyDescent="0.2">
      <c r="A261" s="136">
        <v>3</v>
      </c>
      <c r="B261" s="50"/>
      <c r="C261" s="126"/>
      <c r="D261" s="196" t="s">
        <v>565</v>
      </c>
      <c r="E261" s="128">
        <v>370</v>
      </c>
      <c r="F261" s="126" t="s">
        <v>485</v>
      </c>
      <c r="G261" s="146"/>
      <c r="H261" s="154"/>
      <c r="I261" s="154"/>
      <c r="J261" s="154"/>
      <c r="K261" s="154"/>
      <c r="L261" s="154"/>
      <c r="M261" s="154"/>
      <c r="N261" s="154"/>
      <c r="O261" s="153"/>
      <c r="P261" s="153"/>
      <c r="R261" s="129"/>
      <c r="S261" s="129"/>
      <c r="T261" s="129"/>
      <c r="U261" s="129"/>
      <c r="V261" s="170"/>
      <c r="W261" s="129"/>
      <c r="X261" s="129"/>
      <c r="Y261" s="129"/>
      <c r="Z261" s="168"/>
      <c r="AA261" s="129"/>
      <c r="AB261" s="129"/>
      <c r="AC261" s="129"/>
      <c r="AD261" s="129"/>
      <c r="AE261" s="129"/>
      <c r="AF261" s="129"/>
    </row>
    <row r="262" spans="1:32" ht="78.75" x14ac:dyDescent="0.2">
      <c r="A262" s="176" t="s">
        <v>417</v>
      </c>
      <c r="B262" s="177"/>
      <c r="C262" s="126"/>
      <c r="D262" s="196" t="s">
        <v>550</v>
      </c>
      <c r="E262" s="128">
        <v>350</v>
      </c>
      <c r="F262" s="126" t="s">
        <v>485</v>
      </c>
      <c r="G262" s="146"/>
      <c r="H262" s="154"/>
      <c r="I262" s="154"/>
      <c r="J262" s="154"/>
      <c r="K262" s="154"/>
      <c r="L262" s="154"/>
      <c r="M262" s="154"/>
      <c r="N262" s="154"/>
      <c r="O262" s="153"/>
      <c r="P262" s="153"/>
      <c r="R262" s="129"/>
      <c r="S262" s="129"/>
      <c r="T262" s="129"/>
      <c r="U262" s="129"/>
      <c r="V262" s="170"/>
      <c r="W262" s="129"/>
      <c r="X262" s="129"/>
      <c r="Y262" s="129"/>
      <c r="Z262" s="168"/>
      <c r="AA262" s="129"/>
      <c r="AB262" s="129"/>
      <c r="AC262" s="129"/>
      <c r="AD262" s="129"/>
      <c r="AE262" s="129"/>
      <c r="AF262" s="129"/>
    </row>
    <row r="263" spans="1:32" ht="126" outlineLevel="1" x14ac:dyDescent="0.2">
      <c r="A263" s="3" t="s">
        <v>17</v>
      </c>
      <c r="B263" s="50" t="s">
        <v>377</v>
      </c>
      <c r="C263" s="2" t="s">
        <v>478</v>
      </c>
      <c r="D263" s="110" t="s">
        <v>12</v>
      </c>
      <c r="E263" s="17">
        <v>200</v>
      </c>
      <c r="F263" s="2" t="s">
        <v>479</v>
      </c>
      <c r="G263" s="146"/>
      <c r="H263" s="154"/>
      <c r="I263" s="154"/>
      <c r="J263" s="154"/>
      <c r="K263" s="154"/>
      <c r="L263" s="154">
        <v>13300</v>
      </c>
      <c r="M263" s="154">
        <v>38500</v>
      </c>
      <c r="N263" s="154">
        <v>5600</v>
      </c>
      <c r="O263" s="153">
        <v>9800</v>
      </c>
      <c r="P263" s="161">
        <v>14000</v>
      </c>
      <c r="R263" s="129">
        <v>450</v>
      </c>
      <c r="S263" s="129"/>
      <c r="T263" s="129"/>
      <c r="U263" s="129"/>
      <c r="V263" s="170"/>
      <c r="W263" s="129"/>
      <c r="X263" s="129"/>
      <c r="Y263" s="129"/>
      <c r="Z263" s="168"/>
      <c r="AA263" s="129"/>
      <c r="AB263" s="129"/>
      <c r="AC263" s="129"/>
      <c r="AD263" s="129"/>
      <c r="AE263" s="129"/>
      <c r="AF263" s="129"/>
    </row>
    <row r="264" spans="1:32" ht="126" outlineLevel="1" x14ac:dyDescent="0.2">
      <c r="A264" s="3" t="s">
        <v>18</v>
      </c>
      <c r="B264" s="50" t="s">
        <v>377</v>
      </c>
      <c r="C264" s="126"/>
      <c r="D264" s="196" t="s">
        <v>565</v>
      </c>
      <c r="E264" s="128">
        <v>170</v>
      </c>
      <c r="F264" s="126" t="s">
        <v>479</v>
      </c>
      <c r="G264" s="146"/>
      <c r="H264" s="154"/>
      <c r="I264" s="154"/>
      <c r="J264" s="154"/>
      <c r="K264" s="154"/>
      <c r="L264" s="154"/>
      <c r="M264" s="154"/>
      <c r="N264" s="154">
        <v>1620</v>
      </c>
      <c r="O264" s="153"/>
      <c r="P264" s="153"/>
      <c r="R264" s="129">
        <v>350</v>
      </c>
      <c r="S264" s="129"/>
      <c r="T264" s="129"/>
      <c r="U264" s="129"/>
      <c r="V264" s="170"/>
      <c r="W264" s="129"/>
      <c r="X264" s="129"/>
      <c r="Y264" s="129"/>
      <c r="Z264" s="168"/>
      <c r="AA264" s="129"/>
      <c r="AB264" s="129"/>
      <c r="AC264" s="129"/>
      <c r="AD264" s="129"/>
      <c r="AE264" s="129"/>
      <c r="AF264" s="129"/>
    </row>
    <row r="265" spans="1:32" ht="126" outlineLevel="1" x14ac:dyDescent="0.2">
      <c r="A265" s="3" t="s">
        <v>19</v>
      </c>
      <c r="B265" s="50" t="s">
        <v>377</v>
      </c>
      <c r="C265" s="126"/>
      <c r="D265" s="196" t="s">
        <v>550</v>
      </c>
      <c r="E265" s="128">
        <v>150</v>
      </c>
      <c r="F265" s="126" t="s">
        <v>479</v>
      </c>
      <c r="G265" s="146"/>
      <c r="H265" s="154"/>
      <c r="I265" s="154"/>
      <c r="J265" s="154"/>
      <c r="K265" s="154"/>
      <c r="L265" s="154"/>
      <c r="M265" s="154"/>
      <c r="N265" s="154"/>
      <c r="O265" s="153"/>
      <c r="P265" s="153"/>
      <c r="R265" s="129"/>
      <c r="S265" s="129"/>
      <c r="T265" s="129"/>
      <c r="U265" s="129"/>
      <c r="V265" s="170"/>
      <c r="W265" s="129"/>
      <c r="X265" s="129"/>
      <c r="Y265" s="129"/>
      <c r="Z265" s="168"/>
      <c r="AA265" s="129"/>
      <c r="AB265" s="129"/>
      <c r="AC265" s="129"/>
      <c r="AD265" s="129"/>
      <c r="AE265" s="129"/>
      <c r="AF265" s="129"/>
    </row>
    <row r="266" spans="1:32" ht="126" outlineLevel="1" x14ac:dyDescent="0.2">
      <c r="A266" s="3" t="s">
        <v>20</v>
      </c>
      <c r="B266" s="50" t="s">
        <v>377</v>
      </c>
      <c r="C266" s="2" t="s">
        <v>480</v>
      </c>
      <c r="D266" s="196" t="s">
        <v>12</v>
      </c>
      <c r="E266" s="128">
        <v>200</v>
      </c>
      <c r="F266" s="2" t="s">
        <v>479</v>
      </c>
      <c r="G266" s="146"/>
      <c r="H266" s="154"/>
      <c r="I266" s="154"/>
      <c r="J266" s="154"/>
      <c r="K266" s="154"/>
      <c r="L266" s="154"/>
      <c r="M266" s="154"/>
      <c r="N266" s="154"/>
      <c r="O266" s="153"/>
      <c r="P266" s="153"/>
      <c r="R266" s="129"/>
      <c r="S266" s="129"/>
      <c r="T266" s="129"/>
      <c r="U266" s="129"/>
      <c r="V266" s="170"/>
      <c r="W266" s="129"/>
      <c r="X266" s="129"/>
      <c r="Y266" s="129"/>
      <c r="Z266" s="168"/>
      <c r="AA266" s="129"/>
      <c r="AB266" s="129"/>
      <c r="AC266" s="129"/>
      <c r="AD266" s="129"/>
      <c r="AE266" s="129"/>
      <c r="AF266" s="129"/>
    </row>
    <row r="267" spans="1:32" ht="126" outlineLevel="1" x14ac:dyDescent="0.2">
      <c r="A267" s="3" t="s">
        <v>21</v>
      </c>
      <c r="B267" s="50" t="s">
        <v>377</v>
      </c>
      <c r="C267" s="126"/>
      <c r="D267" s="196" t="s">
        <v>565</v>
      </c>
      <c r="E267" s="128">
        <v>170</v>
      </c>
      <c r="F267" s="126" t="s">
        <v>479</v>
      </c>
      <c r="G267" s="146"/>
      <c r="H267" s="154"/>
      <c r="I267" s="154"/>
      <c r="J267" s="154"/>
      <c r="K267" s="154"/>
      <c r="L267" s="154"/>
      <c r="M267" s="154"/>
      <c r="N267" s="154"/>
      <c r="O267" s="153"/>
      <c r="P267" s="153"/>
      <c r="R267" s="129"/>
      <c r="S267" s="129"/>
      <c r="T267" s="129"/>
      <c r="U267" s="129"/>
      <c r="V267" s="170"/>
      <c r="W267" s="129"/>
      <c r="X267" s="129"/>
      <c r="Y267" s="129"/>
      <c r="Z267" s="168"/>
      <c r="AA267" s="129"/>
      <c r="AB267" s="129"/>
      <c r="AC267" s="129"/>
      <c r="AD267" s="129"/>
      <c r="AE267" s="129"/>
      <c r="AF267" s="129"/>
    </row>
    <row r="268" spans="1:32" s="125" customFormat="1" ht="252" hidden="1" customHeight="1" x14ac:dyDescent="0.2">
      <c r="A268" s="181" t="s">
        <v>517</v>
      </c>
      <c r="B268" s="181"/>
      <c r="C268" s="126"/>
      <c r="D268" s="196" t="s">
        <v>550</v>
      </c>
      <c r="E268" s="128">
        <v>150</v>
      </c>
      <c r="F268" s="126" t="s">
        <v>479</v>
      </c>
      <c r="G268" s="147"/>
      <c r="H268" s="154"/>
      <c r="I268" s="154"/>
      <c r="J268" s="154"/>
      <c r="K268" s="154"/>
      <c r="L268" s="154"/>
      <c r="M268" s="154"/>
      <c r="N268" s="154"/>
      <c r="O268" s="153"/>
      <c r="P268" s="153"/>
      <c r="R268" s="129"/>
      <c r="S268" s="129"/>
      <c r="T268" s="129"/>
      <c r="U268" s="129"/>
      <c r="V268" s="170"/>
      <c r="W268" s="129"/>
      <c r="X268" s="129"/>
      <c r="Y268" s="129"/>
      <c r="Z268" s="168"/>
      <c r="AA268" s="129"/>
      <c r="AB268" s="129"/>
      <c r="AC268" s="129"/>
      <c r="AD268" s="129"/>
      <c r="AE268" s="129"/>
      <c r="AF268" s="129"/>
    </row>
    <row r="269" spans="1:32" s="125" customFormat="1" ht="63" hidden="1" outlineLevel="1" x14ac:dyDescent="0.2">
      <c r="A269" s="140">
        <v>1</v>
      </c>
      <c r="B269" s="141" t="s">
        <v>260</v>
      </c>
      <c r="C269" s="126" t="s">
        <v>447</v>
      </c>
      <c r="D269" s="196" t="s">
        <v>12</v>
      </c>
      <c r="E269" s="90">
        <v>350</v>
      </c>
      <c r="F269" s="4" t="s">
        <v>455</v>
      </c>
      <c r="G269" s="147">
        <v>16600</v>
      </c>
      <c r="H269" s="153">
        <v>16600</v>
      </c>
      <c r="I269" s="154">
        <f>24840+500</f>
        <v>25340</v>
      </c>
      <c r="J269" s="154">
        <v>8260</v>
      </c>
      <c r="K269" s="154">
        <v>16600</v>
      </c>
      <c r="L269" s="154">
        <f>6990+440</f>
        <v>7430</v>
      </c>
      <c r="M269" s="154">
        <f>6130+260+440+180</f>
        <v>7010</v>
      </c>
      <c r="N269" s="154">
        <v>1010</v>
      </c>
      <c r="O269" s="153">
        <v>8380</v>
      </c>
      <c r="P269" s="161">
        <f>260+7580</f>
        <v>7840</v>
      </c>
      <c r="R269" s="129"/>
      <c r="S269" s="129"/>
      <c r="V269" s="169"/>
      <c r="Z269" s="158"/>
    </row>
    <row r="270" spans="1:32" s="125" customFormat="1" ht="63" hidden="1" outlineLevel="1" x14ac:dyDescent="0.2">
      <c r="A270" s="140">
        <v>2</v>
      </c>
      <c r="B270" s="50" t="s">
        <v>373</v>
      </c>
      <c r="C270" s="4"/>
      <c r="D270" s="196" t="s">
        <v>565</v>
      </c>
      <c r="E270" s="90">
        <v>330</v>
      </c>
      <c r="F270" s="4" t="s">
        <v>455</v>
      </c>
      <c r="G270" s="147">
        <v>13200</v>
      </c>
      <c r="H270" s="153">
        <v>13200</v>
      </c>
      <c r="I270" s="154">
        <f>15000+250</f>
        <v>15250</v>
      </c>
      <c r="J270" s="154">
        <v>5135</v>
      </c>
      <c r="K270" s="154">
        <v>9160</v>
      </c>
      <c r="L270" s="154">
        <v>13255</v>
      </c>
      <c r="M270" s="154">
        <v>15245</v>
      </c>
      <c r="N270" s="154">
        <v>8115</v>
      </c>
      <c r="O270" s="153">
        <v>7440</v>
      </c>
      <c r="P270" s="161">
        <v>3830</v>
      </c>
      <c r="R270" s="129"/>
      <c r="S270" s="129"/>
      <c r="V270" s="169"/>
      <c r="Z270" s="158"/>
    </row>
    <row r="271" spans="1:32" s="125" customFormat="1" ht="15.75" customHeight="1" outlineLevel="1" x14ac:dyDescent="0.2">
      <c r="A271" s="174" t="s">
        <v>70</v>
      </c>
      <c r="B271" s="175"/>
      <c r="C271" s="4"/>
      <c r="D271" s="196" t="s">
        <v>550</v>
      </c>
      <c r="E271" s="90">
        <v>300</v>
      </c>
      <c r="F271" s="4" t="s">
        <v>455</v>
      </c>
      <c r="G271" s="146"/>
      <c r="H271" s="154"/>
      <c r="I271" s="154"/>
      <c r="J271" s="154"/>
      <c r="K271" s="154"/>
      <c r="L271" s="154"/>
      <c r="M271" s="154"/>
      <c r="N271" s="154"/>
      <c r="O271" s="153"/>
      <c r="P271" s="153"/>
      <c r="R271" s="129"/>
      <c r="S271" s="129"/>
      <c r="V271" s="169"/>
      <c r="Z271" s="158"/>
    </row>
    <row r="272" spans="1:32" s="125" customFormat="1" x14ac:dyDescent="0.2">
      <c r="B272" s="46"/>
      <c r="C272" s="4" t="s">
        <v>508</v>
      </c>
      <c r="D272" s="136" t="s">
        <v>12</v>
      </c>
      <c r="E272" s="90">
        <v>230</v>
      </c>
      <c r="F272" s="4" t="s">
        <v>508</v>
      </c>
      <c r="H272" s="129"/>
      <c r="I272" s="129"/>
      <c r="J272" s="129"/>
      <c r="K272" s="129"/>
      <c r="L272" s="129"/>
      <c r="M272" s="129"/>
      <c r="N272" s="129"/>
      <c r="O272" s="160"/>
      <c r="P272" s="158"/>
      <c r="V272" s="169"/>
      <c r="Z272" s="158"/>
    </row>
    <row r="273" spans="1:26" s="125" customFormat="1" x14ac:dyDescent="0.2">
      <c r="A273" s="1"/>
      <c r="B273" s="193" t="s">
        <v>449</v>
      </c>
      <c r="C273" s="4"/>
      <c r="D273" s="196" t="s">
        <v>565</v>
      </c>
      <c r="E273" s="90">
        <v>200</v>
      </c>
      <c r="F273" s="4" t="s">
        <v>508</v>
      </c>
      <c r="G273" s="1"/>
      <c r="H273" s="1"/>
      <c r="I273" s="1"/>
      <c r="J273" s="1"/>
      <c r="K273" s="1"/>
      <c r="L273" s="1"/>
      <c r="M273" s="1"/>
      <c r="N273" s="1"/>
      <c r="O273" s="7"/>
      <c r="P273" s="158"/>
      <c r="V273" s="169"/>
      <c r="Z273" s="158"/>
    </row>
    <row r="274" spans="1:26" x14ac:dyDescent="0.2">
      <c r="C274" s="4"/>
      <c r="D274" s="196" t="s">
        <v>550</v>
      </c>
      <c r="E274" s="90">
        <v>170</v>
      </c>
      <c r="F274" s="4" t="s">
        <v>508</v>
      </c>
    </row>
    <row r="275" spans="1:26" x14ac:dyDescent="0.2">
      <c r="B275" s="193" t="s">
        <v>507</v>
      </c>
      <c r="C275" s="4" t="s">
        <v>509</v>
      </c>
      <c r="D275" s="136" t="s">
        <v>12</v>
      </c>
      <c r="E275" s="90">
        <v>150</v>
      </c>
      <c r="F275" s="4" t="s">
        <v>509</v>
      </c>
    </row>
    <row r="276" spans="1:26" x14ac:dyDescent="0.2">
      <c r="B276" s="100"/>
      <c r="C276" s="4"/>
      <c r="D276" s="196" t="s">
        <v>565</v>
      </c>
      <c r="E276" s="90">
        <v>120</v>
      </c>
      <c r="F276" s="4" t="s">
        <v>509</v>
      </c>
    </row>
    <row r="277" spans="1:26" x14ac:dyDescent="0.2">
      <c r="B277" s="193" t="s">
        <v>514</v>
      </c>
      <c r="C277" s="4"/>
      <c r="D277" s="196" t="s">
        <v>550</v>
      </c>
      <c r="E277" s="90">
        <v>100</v>
      </c>
      <c r="F277" s="4" t="s">
        <v>509</v>
      </c>
    </row>
    <row r="278" spans="1:26" x14ac:dyDescent="0.2">
      <c r="B278" s="100"/>
      <c r="C278" s="4" t="s">
        <v>510</v>
      </c>
      <c r="D278" s="136" t="s">
        <v>12</v>
      </c>
      <c r="E278" s="90">
        <v>150</v>
      </c>
      <c r="F278" s="4" t="s">
        <v>510</v>
      </c>
    </row>
    <row r="279" spans="1:26" x14ac:dyDescent="0.2">
      <c r="B279" s="193" t="s">
        <v>428</v>
      </c>
      <c r="C279" s="156"/>
      <c r="D279" s="173" t="s">
        <v>565</v>
      </c>
      <c r="E279" s="152">
        <v>120</v>
      </c>
      <c r="F279" s="4" t="s">
        <v>510</v>
      </c>
    </row>
    <row r="280" spans="1:26" x14ac:dyDescent="0.2">
      <c r="B280" s="100"/>
      <c r="C280" s="195"/>
      <c r="D280" s="195" t="s">
        <v>550</v>
      </c>
      <c r="E280" s="90">
        <v>100</v>
      </c>
      <c r="F280" s="4" t="s">
        <v>510</v>
      </c>
    </row>
    <row r="281" spans="1:26" ht="47.25" x14ac:dyDescent="0.2">
      <c r="B281" s="193" t="s">
        <v>434</v>
      </c>
      <c r="C281" s="172" t="s">
        <v>457</v>
      </c>
      <c r="D281" s="173"/>
      <c r="E281" s="173"/>
      <c r="F281" s="192"/>
    </row>
    <row r="282" spans="1:26" x14ac:dyDescent="0.2">
      <c r="B282" s="100"/>
      <c r="C282" s="2" t="s">
        <v>104</v>
      </c>
      <c r="D282" s="3" t="s">
        <v>33</v>
      </c>
      <c r="E282" s="86">
        <v>300</v>
      </c>
      <c r="F282" s="4" t="s">
        <v>104</v>
      </c>
    </row>
    <row r="283" spans="1:26" x14ac:dyDescent="0.2">
      <c r="B283" s="193" t="s">
        <v>436</v>
      </c>
      <c r="C283" s="2" t="s">
        <v>456</v>
      </c>
      <c r="D283" s="3" t="s">
        <v>33</v>
      </c>
      <c r="E283" s="86">
        <v>350</v>
      </c>
      <c r="F283" s="4" t="s">
        <v>103</v>
      </c>
    </row>
    <row r="284" spans="1:26" x14ac:dyDescent="0.2">
      <c r="C284" s="2" t="s">
        <v>37</v>
      </c>
      <c r="D284" s="3" t="s">
        <v>33</v>
      </c>
      <c r="E284" s="86">
        <f>E283</f>
        <v>350</v>
      </c>
      <c r="F284" s="4" t="s">
        <v>37</v>
      </c>
    </row>
    <row r="285" spans="1:26" ht="47.25" x14ac:dyDescent="0.2">
      <c r="C285" s="172" t="s">
        <v>222</v>
      </c>
      <c r="D285" s="173"/>
      <c r="E285" s="173"/>
      <c r="F285" s="192"/>
    </row>
    <row r="286" spans="1:26" x14ac:dyDescent="0.2">
      <c r="C286" s="2" t="s">
        <v>104</v>
      </c>
      <c r="D286" s="3" t="s">
        <v>33</v>
      </c>
      <c r="E286" s="86">
        <v>350</v>
      </c>
      <c r="F286" s="4" t="s">
        <v>104</v>
      </c>
    </row>
    <row r="287" spans="1:26" x14ac:dyDescent="0.2">
      <c r="C287" s="2" t="s">
        <v>456</v>
      </c>
      <c r="D287" s="3" t="s">
        <v>33</v>
      </c>
      <c r="E287" s="86">
        <v>400</v>
      </c>
      <c r="F287" s="4" t="s">
        <v>103</v>
      </c>
    </row>
    <row r="288" spans="1:26" x14ac:dyDescent="0.2">
      <c r="C288" s="2" t="s">
        <v>37</v>
      </c>
      <c r="D288" s="3" t="s">
        <v>33</v>
      </c>
      <c r="E288" s="86">
        <f>E287</f>
        <v>400</v>
      </c>
      <c r="F288" s="4" t="s">
        <v>37</v>
      </c>
    </row>
    <row r="289" spans="3:6" x14ac:dyDescent="0.2">
      <c r="C289" s="190"/>
      <c r="D289" s="190"/>
      <c r="E289" s="190"/>
      <c r="F289" s="190"/>
    </row>
    <row r="290" spans="3:6" ht="23.25" x14ac:dyDescent="0.2">
      <c r="C290" s="181"/>
      <c r="D290" s="181"/>
      <c r="E290" s="181"/>
      <c r="F290" s="176"/>
    </row>
    <row r="291" spans="3:6" ht="47.25" x14ac:dyDescent="0.2">
      <c r="C291" s="2" t="s">
        <v>38</v>
      </c>
      <c r="D291" s="3" t="s">
        <v>39</v>
      </c>
      <c r="E291" s="17">
        <v>200</v>
      </c>
      <c r="F291" s="4" t="s">
        <v>38</v>
      </c>
    </row>
    <row r="292" spans="3:6" x14ac:dyDescent="0.2">
      <c r="C292" s="2" t="s">
        <v>320</v>
      </c>
      <c r="D292" s="3" t="s">
        <v>39</v>
      </c>
      <c r="E292" s="17">
        <v>250</v>
      </c>
      <c r="F292" s="4" t="s">
        <v>335</v>
      </c>
    </row>
    <row r="293" spans="3:6" ht="31.5" x14ac:dyDescent="0.2">
      <c r="C293" s="2" t="s">
        <v>40</v>
      </c>
      <c r="D293" s="3" t="s">
        <v>39</v>
      </c>
      <c r="E293" s="17">
        <v>2000</v>
      </c>
      <c r="F293" s="4" t="s">
        <v>336</v>
      </c>
    </row>
    <row r="294" spans="3:6" ht="31.5" x14ac:dyDescent="0.2">
      <c r="C294" s="5" t="s">
        <v>388</v>
      </c>
      <c r="D294" s="76" t="s">
        <v>39</v>
      </c>
      <c r="E294" s="86">
        <v>2400</v>
      </c>
      <c r="F294" s="24" t="s">
        <v>83</v>
      </c>
    </row>
    <row r="295" spans="3:6" ht="21" customHeight="1" x14ac:dyDescent="0.2">
      <c r="C295" s="5" t="s">
        <v>388</v>
      </c>
      <c r="D295" s="76" t="s">
        <v>39</v>
      </c>
      <c r="E295" s="86">
        <v>2700</v>
      </c>
      <c r="F295" s="24" t="s">
        <v>84</v>
      </c>
    </row>
    <row r="296" spans="3:6" ht="47.25" x14ac:dyDescent="0.2">
      <c r="C296" s="2" t="s">
        <v>337</v>
      </c>
      <c r="D296" s="3" t="s">
        <v>113</v>
      </c>
      <c r="E296" s="17">
        <v>150</v>
      </c>
      <c r="F296" s="4" t="s">
        <v>112</v>
      </c>
    </row>
    <row r="297" spans="3:6" ht="23.25" x14ac:dyDescent="0.2">
      <c r="C297" s="177"/>
      <c r="D297" s="177"/>
      <c r="E297" s="177"/>
      <c r="F297" s="177"/>
    </row>
    <row r="298" spans="3:6" ht="47.25" x14ac:dyDescent="0.2">
      <c r="C298" s="2" t="s">
        <v>404</v>
      </c>
      <c r="D298" s="3" t="s">
        <v>32</v>
      </c>
      <c r="E298" s="17">
        <v>350</v>
      </c>
      <c r="F298" s="4" t="s">
        <v>41</v>
      </c>
    </row>
    <row r="299" spans="3:6" x14ac:dyDescent="0.2">
      <c r="C299" s="5" t="s">
        <v>406</v>
      </c>
      <c r="D299" s="3" t="s">
        <v>32</v>
      </c>
      <c r="E299" s="17">
        <v>200</v>
      </c>
      <c r="F299" s="4" t="s">
        <v>42</v>
      </c>
    </row>
    <row r="300" spans="3:6" x14ac:dyDescent="0.2">
      <c r="C300" s="2" t="s">
        <v>226</v>
      </c>
      <c r="D300" s="3" t="s">
        <v>32</v>
      </c>
      <c r="E300" s="17">
        <v>800</v>
      </c>
      <c r="F300" s="4" t="s">
        <v>226</v>
      </c>
    </row>
    <row r="301" spans="3:6" x14ac:dyDescent="0.2">
      <c r="C301" s="2" t="s">
        <v>43</v>
      </c>
      <c r="D301" s="3" t="s">
        <v>32</v>
      </c>
      <c r="E301" s="17">
        <v>700</v>
      </c>
      <c r="F301" s="4" t="s">
        <v>43</v>
      </c>
    </row>
    <row r="302" spans="3:6" ht="31.5" x14ac:dyDescent="0.2">
      <c r="C302" s="2" t="s">
        <v>229</v>
      </c>
      <c r="D302" s="3" t="s">
        <v>32</v>
      </c>
      <c r="E302" s="17">
        <v>1000</v>
      </c>
      <c r="F302" s="4" t="s">
        <v>229</v>
      </c>
    </row>
    <row r="303" spans="3:6" ht="31.5" x14ac:dyDescent="0.2">
      <c r="C303" s="2" t="s">
        <v>339</v>
      </c>
      <c r="D303" s="3" t="s">
        <v>32</v>
      </c>
      <c r="E303" s="17">
        <v>1500</v>
      </c>
      <c r="F303" s="4" t="s">
        <v>44</v>
      </c>
    </row>
    <row r="304" spans="3:6" ht="63" x14ac:dyDescent="0.2">
      <c r="C304" s="2" t="s">
        <v>438</v>
      </c>
      <c r="D304" s="92" t="s">
        <v>36</v>
      </c>
      <c r="E304" s="17">
        <v>1000</v>
      </c>
      <c r="F304" s="4" t="s">
        <v>445</v>
      </c>
    </row>
    <row r="305" spans="3:6" ht="60" x14ac:dyDescent="0.2">
      <c r="C305" s="133" t="s">
        <v>446</v>
      </c>
      <c r="D305" s="132" t="s">
        <v>36</v>
      </c>
      <c r="E305" s="128">
        <v>1000</v>
      </c>
      <c r="F305" s="142" t="s">
        <v>458</v>
      </c>
    </row>
    <row r="306" spans="3:6" ht="60" x14ac:dyDescent="0.2">
      <c r="C306" s="126" t="s">
        <v>500</v>
      </c>
      <c r="D306" s="132" t="s">
        <v>36</v>
      </c>
      <c r="E306" s="128">
        <v>1000</v>
      </c>
      <c r="F306" s="142" t="s">
        <v>516</v>
      </c>
    </row>
    <row r="307" spans="3:6" ht="63.75" x14ac:dyDescent="0.2">
      <c r="C307" s="93" t="s">
        <v>501</v>
      </c>
      <c r="D307" s="139" t="s">
        <v>36</v>
      </c>
      <c r="E307" s="17">
        <v>1000</v>
      </c>
      <c r="F307" s="143" t="s">
        <v>502</v>
      </c>
    </row>
    <row r="308" spans="3:6" ht="23.25" x14ac:dyDescent="0.2">
      <c r="C308" s="177"/>
      <c r="D308" s="177"/>
      <c r="E308" s="177"/>
      <c r="F308" s="177"/>
    </row>
    <row r="309" spans="3:6" ht="47.25" x14ac:dyDescent="0.2">
      <c r="C309" s="2" t="s">
        <v>245</v>
      </c>
      <c r="D309" s="3" t="s">
        <v>32</v>
      </c>
      <c r="E309" s="17">
        <v>800</v>
      </c>
      <c r="F309" s="4" t="s">
        <v>245</v>
      </c>
    </row>
    <row r="310" spans="3:6" ht="31.5" x14ac:dyDescent="0.25">
      <c r="C310" s="41" t="s">
        <v>243</v>
      </c>
      <c r="D310" s="3" t="s">
        <v>32</v>
      </c>
      <c r="E310" s="17">
        <v>900</v>
      </c>
      <c r="F310" s="117" t="s">
        <v>243</v>
      </c>
    </row>
    <row r="311" spans="3:6" x14ac:dyDescent="0.2">
      <c r="C311" s="2" t="s">
        <v>242</v>
      </c>
      <c r="D311" s="3" t="s">
        <v>32</v>
      </c>
      <c r="E311" s="17">
        <v>700</v>
      </c>
      <c r="F311" s="4" t="s">
        <v>242</v>
      </c>
    </row>
    <row r="312" spans="3:6" ht="31.5" x14ac:dyDescent="0.2">
      <c r="C312" s="2" t="s">
        <v>241</v>
      </c>
      <c r="D312" s="3" t="s">
        <v>32</v>
      </c>
      <c r="E312" s="17">
        <v>1000</v>
      </c>
      <c r="F312" s="4" t="s">
        <v>241</v>
      </c>
    </row>
    <row r="313" spans="3:6" ht="47.25" x14ac:dyDescent="0.2">
      <c r="C313" s="2" t="s">
        <v>340</v>
      </c>
      <c r="D313" s="3" t="s">
        <v>32</v>
      </c>
      <c r="E313" s="17">
        <v>1000</v>
      </c>
      <c r="F313" s="4" t="s">
        <v>89</v>
      </c>
    </row>
    <row r="314" spans="3:6" ht="31.5" x14ac:dyDescent="0.2">
      <c r="C314" s="2" t="s">
        <v>342</v>
      </c>
      <c r="D314" s="3" t="s">
        <v>32</v>
      </c>
      <c r="E314" s="17">
        <v>1200</v>
      </c>
      <c r="F314" s="4" t="s">
        <v>343</v>
      </c>
    </row>
    <row r="315" spans="3:6" x14ac:dyDescent="0.2">
      <c r="C315" s="2" t="s">
        <v>45</v>
      </c>
      <c r="D315" s="3" t="s">
        <v>32</v>
      </c>
      <c r="E315" s="17">
        <v>800</v>
      </c>
      <c r="F315" s="4" t="s">
        <v>45</v>
      </c>
    </row>
    <row r="316" spans="3:6" x14ac:dyDescent="0.2">
      <c r="C316" s="2" t="s">
        <v>46</v>
      </c>
      <c r="D316" s="3" t="s">
        <v>32</v>
      </c>
      <c r="E316" s="17">
        <v>800</v>
      </c>
      <c r="F316" s="4" t="s">
        <v>46</v>
      </c>
    </row>
    <row r="317" spans="3:6" x14ac:dyDescent="0.2">
      <c r="C317" s="2" t="s">
        <v>47</v>
      </c>
      <c r="D317" s="3" t="s">
        <v>32</v>
      </c>
      <c r="E317" s="17">
        <v>1500</v>
      </c>
      <c r="F317" s="4" t="s">
        <v>47</v>
      </c>
    </row>
    <row r="318" spans="3:6" ht="47.25" x14ac:dyDescent="0.2">
      <c r="C318" s="2" t="s">
        <v>246</v>
      </c>
      <c r="D318" s="3" t="s">
        <v>32</v>
      </c>
      <c r="E318" s="17">
        <v>800</v>
      </c>
      <c r="F318" s="4" t="s">
        <v>246</v>
      </c>
    </row>
    <row r="319" spans="3:6" x14ac:dyDescent="0.2">
      <c r="C319" s="2" t="s">
        <v>48</v>
      </c>
      <c r="D319" s="3" t="s">
        <v>32</v>
      </c>
      <c r="E319" s="17">
        <v>750</v>
      </c>
      <c r="F319" s="4" t="s">
        <v>48</v>
      </c>
    </row>
    <row r="320" spans="3:6" ht="31.5" x14ac:dyDescent="0.2">
      <c r="C320" s="2" t="s">
        <v>244</v>
      </c>
      <c r="D320" s="3" t="s">
        <v>32</v>
      </c>
      <c r="E320" s="17">
        <v>700</v>
      </c>
      <c r="F320" s="4" t="s">
        <v>244</v>
      </c>
    </row>
    <row r="321" spans="3:6" x14ac:dyDescent="0.2">
      <c r="C321" s="2" t="s">
        <v>106</v>
      </c>
      <c r="D321" s="3" t="s">
        <v>32</v>
      </c>
      <c r="E321" s="17">
        <v>2200</v>
      </c>
      <c r="F321" s="4" t="s">
        <v>106</v>
      </c>
    </row>
    <row r="322" spans="3:6" x14ac:dyDescent="0.2">
      <c r="C322" s="2" t="s">
        <v>107</v>
      </c>
      <c r="D322" s="3" t="s">
        <v>32</v>
      </c>
      <c r="E322" s="17">
        <v>2200</v>
      </c>
      <c r="F322" s="4" t="s">
        <v>107</v>
      </c>
    </row>
    <row r="323" spans="3:6" ht="31.5" x14ac:dyDescent="0.25">
      <c r="C323" s="41" t="s">
        <v>344</v>
      </c>
      <c r="D323" s="3" t="s">
        <v>32</v>
      </c>
      <c r="E323" s="17">
        <v>1200</v>
      </c>
      <c r="F323" s="4" t="s">
        <v>105</v>
      </c>
    </row>
    <row r="324" spans="3:6" ht="31.5" x14ac:dyDescent="0.25">
      <c r="C324" s="41" t="s">
        <v>344</v>
      </c>
      <c r="D324" s="3" t="s">
        <v>32</v>
      </c>
      <c r="E324" s="17">
        <v>1200</v>
      </c>
      <c r="F324" s="4" t="s">
        <v>109</v>
      </c>
    </row>
    <row r="325" spans="3:6" ht="31.5" x14ac:dyDescent="0.25">
      <c r="C325" s="41" t="s">
        <v>347</v>
      </c>
      <c r="D325" s="3" t="s">
        <v>32</v>
      </c>
      <c r="E325" s="17">
        <v>1200</v>
      </c>
      <c r="F325" s="4" t="s">
        <v>108</v>
      </c>
    </row>
    <row r="326" spans="3:6" ht="31.5" x14ac:dyDescent="0.25">
      <c r="C326" s="41" t="s">
        <v>347</v>
      </c>
      <c r="D326" s="3" t="s">
        <v>32</v>
      </c>
      <c r="E326" s="17">
        <v>1200</v>
      </c>
      <c r="F326" s="4" t="s">
        <v>110</v>
      </c>
    </row>
    <row r="327" spans="3:6" ht="31.5" x14ac:dyDescent="0.2">
      <c r="C327" s="2" t="s">
        <v>349</v>
      </c>
      <c r="D327" s="3" t="s">
        <v>32</v>
      </c>
      <c r="E327" s="17">
        <v>1200</v>
      </c>
      <c r="F327" s="4" t="s">
        <v>350</v>
      </c>
    </row>
    <row r="328" spans="3:6" ht="23.25" x14ac:dyDescent="0.2">
      <c r="C328" s="177"/>
      <c r="D328" s="177"/>
      <c r="E328" s="177"/>
      <c r="F328" s="177"/>
    </row>
    <row r="329" spans="3:6" ht="47.25" x14ac:dyDescent="0.2">
      <c r="C329" s="2" t="s">
        <v>351</v>
      </c>
      <c r="D329" s="3" t="s">
        <v>12</v>
      </c>
      <c r="E329" s="17">
        <v>100</v>
      </c>
      <c r="F329" s="4" t="s">
        <v>49</v>
      </c>
    </row>
    <row r="330" spans="3:6" ht="31.5" x14ac:dyDescent="0.2">
      <c r="C330" s="2" t="s">
        <v>352</v>
      </c>
      <c r="D330" s="3" t="s">
        <v>12</v>
      </c>
      <c r="E330" s="17">
        <v>120</v>
      </c>
      <c r="F330" s="4" t="s">
        <v>50</v>
      </c>
    </row>
    <row r="331" spans="3:6" ht="31.5" x14ac:dyDescent="0.2">
      <c r="C331" s="2" t="s">
        <v>353</v>
      </c>
      <c r="D331" s="3" t="s">
        <v>12</v>
      </c>
      <c r="E331" s="17">
        <v>100</v>
      </c>
      <c r="F331" s="4" t="s">
        <v>51</v>
      </c>
    </row>
    <row r="332" spans="3:6" ht="31.5" x14ac:dyDescent="0.2">
      <c r="C332" s="50" t="s">
        <v>352</v>
      </c>
      <c r="D332" s="3" t="s">
        <v>12</v>
      </c>
      <c r="E332" s="17">
        <v>300</v>
      </c>
      <c r="F332" s="4" t="s">
        <v>52</v>
      </c>
    </row>
    <row r="333" spans="3:6" ht="47.25" x14ac:dyDescent="0.2">
      <c r="C333" s="50" t="s">
        <v>352</v>
      </c>
      <c r="D333" s="3" t="s">
        <v>12</v>
      </c>
      <c r="E333" s="17">
        <v>350</v>
      </c>
      <c r="F333" s="4" t="s">
        <v>53</v>
      </c>
    </row>
    <row r="334" spans="3:6" ht="23.25" x14ac:dyDescent="0.2">
      <c r="C334" s="181"/>
      <c r="D334" s="181"/>
      <c r="E334" s="181"/>
      <c r="F334" s="176"/>
    </row>
    <row r="335" spans="3:6" x14ac:dyDescent="0.2">
      <c r="C335" s="22" t="s">
        <v>54</v>
      </c>
      <c r="D335" s="3" t="s">
        <v>55</v>
      </c>
      <c r="E335" s="17">
        <v>120</v>
      </c>
      <c r="F335" s="24" t="s">
        <v>54</v>
      </c>
    </row>
    <row r="336" spans="3:6" ht="31.5" x14ac:dyDescent="0.2">
      <c r="C336" s="126" t="s">
        <v>488</v>
      </c>
      <c r="D336" s="127" t="s">
        <v>55</v>
      </c>
      <c r="E336" s="128">
        <v>300</v>
      </c>
      <c r="F336" s="126" t="s">
        <v>489</v>
      </c>
    </row>
    <row r="337" spans="3:6" x14ac:dyDescent="0.2">
      <c r="C337" s="126" t="s">
        <v>490</v>
      </c>
      <c r="D337" s="127" t="s">
        <v>491</v>
      </c>
      <c r="E337" s="128">
        <v>1000</v>
      </c>
      <c r="F337" s="126" t="s">
        <v>492</v>
      </c>
    </row>
    <row r="338" spans="3:6" ht="31.5" x14ac:dyDescent="0.2">
      <c r="C338" s="126" t="s">
        <v>493</v>
      </c>
      <c r="D338" s="127" t="s">
        <v>491</v>
      </c>
      <c r="E338" s="128">
        <v>1500</v>
      </c>
      <c r="F338" s="126" t="s">
        <v>494</v>
      </c>
    </row>
    <row r="339" spans="3:6" x14ac:dyDescent="0.2">
      <c r="C339" s="2" t="s">
        <v>354</v>
      </c>
      <c r="D339" s="3" t="s">
        <v>56</v>
      </c>
      <c r="E339" s="17">
        <v>40</v>
      </c>
      <c r="F339" s="4" t="s">
        <v>355</v>
      </c>
    </row>
    <row r="340" spans="3:6" x14ac:dyDescent="0.25">
      <c r="C340" s="41" t="s">
        <v>357</v>
      </c>
      <c r="D340" s="3" t="s">
        <v>56</v>
      </c>
      <c r="E340" s="17">
        <v>50</v>
      </c>
      <c r="F340" s="4" t="s">
        <v>57</v>
      </c>
    </row>
    <row r="341" spans="3:6" x14ac:dyDescent="0.25">
      <c r="C341" s="41" t="s">
        <v>357</v>
      </c>
      <c r="D341" s="3" t="s">
        <v>59</v>
      </c>
      <c r="E341" s="17">
        <v>75</v>
      </c>
      <c r="F341" s="4" t="s">
        <v>58</v>
      </c>
    </row>
    <row r="342" spans="3:6" ht="78.75" x14ac:dyDescent="0.2">
      <c r="C342" s="50" t="s">
        <v>475</v>
      </c>
      <c r="D342" s="112" t="s">
        <v>476</v>
      </c>
      <c r="E342" s="113">
        <v>40</v>
      </c>
      <c r="F342" s="116" t="s">
        <v>477</v>
      </c>
    </row>
    <row r="343" spans="3:6" x14ac:dyDescent="0.2">
      <c r="C343" s="187"/>
      <c r="D343" s="327" t="s">
        <v>36</v>
      </c>
      <c r="E343" s="331">
        <v>1000</v>
      </c>
      <c r="F343" s="333"/>
    </row>
    <row r="344" spans="3:6" ht="47.25" x14ac:dyDescent="0.2">
      <c r="C344" s="2" t="s">
        <v>404</v>
      </c>
      <c r="D344" s="328"/>
      <c r="E344" s="332"/>
      <c r="F344" s="334"/>
    </row>
    <row r="345" spans="3:6" ht="31.5" x14ac:dyDescent="0.2">
      <c r="C345" s="63" t="s">
        <v>409</v>
      </c>
      <c r="D345" s="328"/>
      <c r="E345" s="332"/>
      <c r="F345" s="334"/>
    </row>
    <row r="346" spans="3:6" x14ac:dyDescent="0.2">
      <c r="C346" s="65" t="s">
        <v>411</v>
      </c>
      <c r="D346" s="328"/>
      <c r="E346" s="332"/>
      <c r="F346" s="334"/>
    </row>
    <row r="347" spans="3:6" ht="23.25" x14ac:dyDescent="0.2">
      <c r="C347" s="185"/>
      <c r="D347" s="181"/>
      <c r="E347" s="181"/>
      <c r="F347" s="176"/>
    </row>
    <row r="348" spans="3:6" x14ac:dyDescent="0.2">
      <c r="C348" s="2" t="s">
        <v>359</v>
      </c>
      <c r="D348" s="196" t="s">
        <v>12</v>
      </c>
      <c r="E348" s="128">
        <v>450</v>
      </c>
      <c r="F348" s="4" t="s">
        <v>360</v>
      </c>
    </row>
    <row r="349" spans="3:6" x14ac:dyDescent="0.2">
      <c r="C349" s="126"/>
      <c r="D349" s="196" t="s">
        <v>565</v>
      </c>
      <c r="E349" s="128">
        <v>430</v>
      </c>
      <c r="F349" s="4" t="s">
        <v>360</v>
      </c>
    </row>
    <row r="350" spans="3:6" x14ac:dyDescent="0.2">
      <c r="C350" s="126"/>
      <c r="D350" s="196" t="s">
        <v>550</v>
      </c>
      <c r="E350" s="128">
        <v>400</v>
      </c>
      <c r="F350" s="4" t="s">
        <v>360</v>
      </c>
    </row>
    <row r="351" spans="3:6" x14ac:dyDescent="0.2">
      <c r="C351" s="2" t="s">
        <v>252</v>
      </c>
      <c r="D351" s="3" t="s">
        <v>12</v>
      </c>
      <c r="E351" s="17">
        <v>450</v>
      </c>
      <c r="F351" s="4" t="s">
        <v>252</v>
      </c>
    </row>
    <row r="352" spans="3:6" x14ac:dyDescent="0.2">
      <c r="C352" s="126"/>
      <c r="D352" s="196" t="s">
        <v>565</v>
      </c>
      <c r="E352" s="128">
        <v>430</v>
      </c>
      <c r="F352" s="4" t="s">
        <v>252</v>
      </c>
    </row>
    <row r="353" spans="3:6" x14ac:dyDescent="0.2">
      <c r="C353" s="126"/>
      <c r="D353" s="196" t="s">
        <v>550</v>
      </c>
      <c r="E353" s="128">
        <v>400</v>
      </c>
      <c r="F353" s="4" t="s">
        <v>252</v>
      </c>
    </row>
    <row r="354" spans="3:6" ht="31.5" x14ac:dyDescent="0.2">
      <c r="C354" s="2" t="s">
        <v>361</v>
      </c>
      <c r="D354" s="3" t="s">
        <v>12</v>
      </c>
      <c r="E354" s="17">
        <v>400</v>
      </c>
      <c r="F354" s="4" t="s">
        <v>362</v>
      </c>
    </row>
    <row r="355" spans="3:6" x14ac:dyDescent="0.2">
      <c r="C355" s="4"/>
      <c r="D355" s="173" t="s">
        <v>565</v>
      </c>
      <c r="E355" s="90">
        <v>370</v>
      </c>
      <c r="F355" s="4" t="s">
        <v>362</v>
      </c>
    </row>
    <row r="356" spans="3:6" x14ac:dyDescent="0.2">
      <c r="C356" s="4"/>
      <c r="D356" s="173" t="s">
        <v>550</v>
      </c>
      <c r="E356" s="90">
        <v>350</v>
      </c>
      <c r="F356" s="4" t="s">
        <v>362</v>
      </c>
    </row>
    <row r="357" spans="3:6" ht="31.5" x14ac:dyDescent="0.25">
      <c r="C357" s="41" t="s">
        <v>575</v>
      </c>
      <c r="D357" s="6" t="s">
        <v>12</v>
      </c>
      <c r="E357" s="19">
        <v>350</v>
      </c>
      <c r="F357" s="118" t="s">
        <v>576</v>
      </c>
    </row>
    <row r="358" spans="3:6" x14ac:dyDescent="0.25">
      <c r="C358" s="41"/>
      <c r="D358" s="6" t="s">
        <v>565</v>
      </c>
      <c r="E358" s="19">
        <v>330</v>
      </c>
      <c r="F358" s="118" t="s">
        <v>576</v>
      </c>
    </row>
    <row r="359" spans="3:6" x14ac:dyDescent="0.25">
      <c r="C359" s="41"/>
      <c r="D359" s="6" t="s">
        <v>550</v>
      </c>
      <c r="E359" s="19">
        <v>300</v>
      </c>
      <c r="F359" s="118" t="s">
        <v>576</v>
      </c>
    </row>
    <row r="360" spans="3:6" ht="47.25" x14ac:dyDescent="0.2">
      <c r="C360" s="2" t="s">
        <v>368</v>
      </c>
      <c r="D360" s="3" t="s">
        <v>12</v>
      </c>
      <c r="E360" s="17">
        <v>600</v>
      </c>
      <c r="F360" s="4" t="s">
        <v>63</v>
      </c>
    </row>
    <row r="361" spans="3:6" ht="31.5" x14ac:dyDescent="0.2">
      <c r="C361" s="126"/>
      <c r="D361" s="196" t="s">
        <v>565</v>
      </c>
      <c r="E361" s="128">
        <v>570</v>
      </c>
      <c r="F361" s="4" t="s">
        <v>63</v>
      </c>
    </row>
    <row r="362" spans="3:6" ht="31.5" x14ac:dyDescent="0.2">
      <c r="C362" s="126"/>
      <c r="D362" s="196" t="s">
        <v>550</v>
      </c>
      <c r="E362" s="128">
        <v>550</v>
      </c>
      <c r="F362" s="4" t="s">
        <v>63</v>
      </c>
    </row>
    <row r="363" spans="3:6" ht="31.5" x14ac:dyDescent="0.2">
      <c r="C363" s="5" t="s">
        <v>369</v>
      </c>
      <c r="D363" s="3" t="s">
        <v>12</v>
      </c>
      <c r="E363" s="17">
        <v>400</v>
      </c>
      <c r="F363" s="4" t="s">
        <v>64</v>
      </c>
    </row>
    <row r="364" spans="3:6" ht="31.5" x14ac:dyDescent="0.2">
      <c r="C364" s="5"/>
      <c r="D364" s="196" t="s">
        <v>565</v>
      </c>
      <c r="E364" s="128">
        <v>370</v>
      </c>
      <c r="F364" s="4" t="s">
        <v>64</v>
      </c>
    </row>
    <row r="365" spans="3:6" ht="31.5" x14ac:dyDescent="0.2">
      <c r="C365" s="5"/>
      <c r="D365" s="196" t="s">
        <v>550</v>
      </c>
      <c r="E365" s="128">
        <v>350</v>
      </c>
      <c r="F365" s="4" t="s">
        <v>64</v>
      </c>
    </row>
    <row r="366" spans="3:6" ht="31.5" x14ac:dyDescent="0.2">
      <c r="C366" s="2" t="s">
        <v>258</v>
      </c>
      <c r="D366" s="3" t="s">
        <v>12</v>
      </c>
      <c r="E366" s="17">
        <v>450</v>
      </c>
      <c r="F366" s="4" t="s">
        <v>258</v>
      </c>
    </row>
    <row r="367" spans="3:6" x14ac:dyDescent="0.2">
      <c r="C367" s="126"/>
      <c r="D367" s="196" t="s">
        <v>565</v>
      </c>
      <c r="E367" s="128">
        <v>430</v>
      </c>
      <c r="F367" s="4" t="s">
        <v>258</v>
      </c>
    </row>
    <row r="368" spans="3:6" x14ac:dyDescent="0.2">
      <c r="C368" s="126"/>
      <c r="D368" s="196" t="s">
        <v>550</v>
      </c>
      <c r="E368" s="128">
        <v>400</v>
      </c>
      <c r="F368" s="4" t="s">
        <v>258</v>
      </c>
    </row>
    <row r="369" spans="3:6" ht="47.25" x14ac:dyDescent="0.2">
      <c r="C369" s="5" t="s">
        <v>369</v>
      </c>
      <c r="D369" s="3" t="s">
        <v>15</v>
      </c>
      <c r="E369" s="17">
        <v>1200</v>
      </c>
      <c r="F369" s="4" t="s">
        <v>65</v>
      </c>
    </row>
    <row r="370" spans="3:6" x14ac:dyDescent="0.2">
      <c r="C370" s="2" t="s">
        <v>257</v>
      </c>
      <c r="D370" s="3" t="s">
        <v>12</v>
      </c>
      <c r="E370" s="17">
        <v>400</v>
      </c>
      <c r="F370" s="4" t="s">
        <v>257</v>
      </c>
    </row>
    <row r="371" spans="3:6" ht="23.25" x14ac:dyDescent="0.2">
      <c r="C371" s="177"/>
      <c r="D371" s="177"/>
      <c r="E371" s="177"/>
      <c r="F371" s="177"/>
    </row>
    <row r="372" spans="3:6" x14ac:dyDescent="0.25">
      <c r="C372" s="41" t="s">
        <v>372</v>
      </c>
      <c r="D372" s="3" t="s">
        <v>12</v>
      </c>
      <c r="E372" s="17">
        <v>200</v>
      </c>
      <c r="F372" s="4" t="s">
        <v>66</v>
      </c>
    </row>
    <row r="373" spans="3:6" ht="31.5" x14ac:dyDescent="0.25">
      <c r="C373" s="41" t="s">
        <v>372</v>
      </c>
      <c r="D373" s="3" t="s">
        <v>12</v>
      </c>
      <c r="E373" s="17">
        <v>250</v>
      </c>
      <c r="F373" s="4" t="s">
        <v>67</v>
      </c>
    </row>
    <row r="374" spans="3:6" ht="23.25" x14ac:dyDescent="0.2">
      <c r="C374" s="179"/>
      <c r="D374" s="179"/>
      <c r="E374" s="179"/>
      <c r="F374" s="180"/>
    </row>
    <row r="375" spans="3:6" ht="47.25" x14ac:dyDescent="0.2">
      <c r="C375" s="104" t="s">
        <v>512</v>
      </c>
      <c r="D375" s="103" t="s">
        <v>36</v>
      </c>
      <c r="E375" s="128">
        <v>1600</v>
      </c>
      <c r="F375" s="104" t="s">
        <v>512</v>
      </c>
    </row>
    <row r="376" spans="3:6" ht="23.25" x14ac:dyDescent="0.2">
      <c r="C376" s="177"/>
      <c r="D376" s="177"/>
      <c r="E376" s="177"/>
      <c r="F376" s="177"/>
    </row>
    <row r="377" spans="3:6" ht="47.25" x14ac:dyDescent="0.2">
      <c r="C377" s="5" t="s">
        <v>462</v>
      </c>
      <c r="D377" s="3" t="s">
        <v>12</v>
      </c>
      <c r="E377" s="17">
        <v>500</v>
      </c>
      <c r="F377" s="4" t="s">
        <v>115</v>
      </c>
    </row>
    <row r="378" spans="3:6" ht="47.25" x14ac:dyDescent="0.2">
      <c r="C378" s="5" t="s">
        <v>462</v>
      </c>
      <c r="D378" s="3" t="s">
        <v>12</v>
      </c>
      <c r="E378" s="17">
        <v>600</v>
      </c>
      <c r="F378" s="4" t="s">
        <v>116</v>
      </c>
    </row>
    <row r="379" spans="3:6" ht="47.25" x14ac:dyDescent="0.2">
      <c r="C379" s="104" t="s">
        <v>463</v>
      </c>
      <c r="D379" s="103" t="s">
        <v>36</v>
      </c>
      <c r="E379" s="17">
        <v>750</v>
      </c>
      <c r="F379" s="4" t="s">
        <v>467</v>
      </c>
    </row>
    <row r="380" spans="3:6" ht="47.25" x14ac:dyDescent="0.2">
      <c r="C380" s="104" t="s">
        <v>460</v>
      </c>
      <c r="D380" s="103" t="s">
        <v>36</v>
      </c>
      <c r="E380" s="17">
        <v>700</v>
      </c>
      <c r="F380" s="4" t="s">
        <v>466</v>
      </c>
    </row>
    <row r="381" spans="3:6" ht="23.25" x14ac:dyDescent="0.2">
      <c r="C381" s="177"/>
      <c r="D381" s="177"/>
      <c r="E381" s="177"/>
      <c r="F381" s="177"/>
    </row>
    <row r="382" spans="3:6" ht="31.5" x14ac:dyDescent="0.2">
      <c r="C382" s="2" t="s">
        <v>261</v>
      </c>
      <c r="D382" s="3" t="s">
        <v>12</v>
      </c>
      <c r="E382" s="17">
        <v>500</v>
      </c>
      <c r="F382" s="4" t="s">
        <v>261</v>
      </c>
    </row>
    <row r="383" spans="3:6" ht="31.5" x14ac:dyDescent="0.25">
      <c r="C383" s="41" t="s">
        <v>374</v>
      </c>
      <c r="D383" s="136" t="s">
        <v>12</v>
      </c>
      <c r="E383" s="128">
        <v>600</v>
      </c>
      <c r="F383" s="4" t="s">
        <v>371</v>
      </c>
    </row>
    <row r="384" spans="3:6" x14ac:dyDescent="0.25">
      <c r="C384" s="41" t="s">
        <v>513</v>
      </c>
      <c r="D384" s="136" t="s">
        <v>12</v>
      </c>
      <c r="E384" s="128">
        <v>300</v>
      </c>
      <c r="F384" s="41" t="s">
        <v>513</v>
      </c>
    </row>
    <row r="385" spans="3:33" ht="23.25" x14ac:dyDescent="0.2">
      <c r="C385" s="177"/>
      <c r="D385" s="177"/>
      <c r="E385" s="177"/>
      <c r="F385" s="177"/>
    </row>
    <row r="386" spans="3:33" ht="31.5" x14ac:dyDescent="0.2">
      <c r="C386" s="5" t="s">
        <v>378</v>
      </c>
      <c r="D386" s="3" t="s">
        <v>55</v>
      </c>
      <c r="E386" s="17">
        <v>700</v>
      </c>
      <c r="F386" s="4" t="s">
        <v>379</v>
      </c>
    </row>
    <row r="387" spans="3:33" ht="31.5" x14ac:dyDescent="0.2">
      <c r="C387" s="5" t="s">
        <v>378</v>
      </c>
      <c r="D387" s="3" t="s">
        <v>55</v>
      </c>
      <c r="E387" s="17">
        <v>600</v>
      </c>
      <c r="F387" s="4" t="s">
        <v>380</v>
      </c>
    </row>
    <row r="388" spans="3:33" ht="31.5" x14ac:dyDescent="0.2">
      <c r="C388" s="5" t="s">
        <v>378</v>
      </c>
      <c r="D388" s="3" t="s">
        <v>55</v>
      </c>
      <c r="E388" s="17">
        <v>600</v>
      </c>
      <c r="F388" s="25" t="s">
        <v>381</v>
      </c>
    </row>
    <row r="389" spans="3:33" ht="31.5" x14ac:dyDescent="0.2">
      <c r="C389" s="5" t="s">
        <v>378</v>
      </c>
      <c r="D389" s="3" t="s">
        <v>55</v>
      </c>
      <c r="E389" s="17">
        <v>700</v>
      </c>
      <c r="F389" s="4" t="s">
        <v>68</v>
      </c>
    </row>
    <row r="390" spans="3:33" ht="31.5" x14ac:dyDescent="0.2">
      <c r="C390" s="214" t="s">
        <v>378</v>
      </c>
      <c r="D390" s="206" t="s">
        <v>55</v>
      </c>
      <c r="E390" s="207">
        <v>700</v>
      </c>
      <c r="F390" s="116" t="s">
        <v>69</v>
      </c>
    </row>
    <row r="391" spans="3:33" ht="23.25" x14ac:dyDescent="0.2">
      <c r="C391" s="215"/>
      <c r="D391" s="215"/>
      <c r="E391" s="215"/>
      <c r="F391" s="215"/>
      <c r="G391" s="125"/>
      <c r="H391" s="125"/>
      <c r="I391" s="125"/>
      <c r="J391" s="125"/>
      <c r="K391" s="125"/>
      <c r="L391" s="125"/>
      <c r="M391" s="125"/>
      <c r="N391" s="125"/>
      <c r="AF391" s="125"/>
      <c r="AG391" s="125"/>
    </row>
    <row r="392" spans="3:33" x14ac:dyDescent="0.2">
      <c r="C392" s="200"/>
      <c r="D392" s="216"/>
      <c r="E392" s="217"/>
      <c r="F392" s="200"/>
      <c r="G392" s="125"/>
      <c r="H392" s="125"/>
      <c r="I392" s="125"/>
      <c r="J392" s="125"/>
      <c r="K392" s="125"/>
      <c r="L392" s="125"/>
      <c r="M392" s="125"/>
      <c r="N392" s="125"/>
      <c r="AF392" s="125"/>
      <c r="AG392" s="125"/>
    </row>
    <row r="393" spans="3:33" x14ac:dyDescent="0.25">
      <c r="C393" s="218"/>
      <c r="D393" s="216"/>
      <c r="E393" s="217"/>
      <c r="F393" s="200"/>
      <c r="G393" s="125"/>
      <c r="H393" s="125"/>
      <c r="I393" s="125"/>
      <c r="J393" s="125"/>
      <c r="K393" s="125"/>
      <c r="L393" s="125"/>
      <c r="M393" s="125"/>
      <c r="N393" s="125"/>
      <c r="AF393" s="125"/>
      <c r="AG393" s="125"/>
    </row>
    <row r="394" spans="3:33" x14ac:dyDescent="0.2">
      <c r="C394" s="219"/>
      <c r="D394" s="219"/>
      <c r="E394" s="219"/>
      <c r="F394" s="219"/>
      <c r="G394" s="125"/>
      <c r="H394" s="125"/>
      <c r="I394" s="125"/>
      <c r="J394" s="125"/>
      <c r="K394" s="125"/>
      <c r="L394" s="125"/>
      <c r="M394" s="125"/>
      <c r="N394" s="125"/>
      <c r="AF394" s="125"/>
      <c r="AG394" s="125"/>
    </row>
    <row r="395" spans="3:33" x14ac:dyDescent="0.2">
      <c r="C395" s="32"/>
      <c r="D395" s="29"/>
      <c r="E395" s="33"/>
      <c r="F395" s="32"/>
      <c r="G395" s="125"/>
      <c r="H395" s="125"/>
      <c r="I395" s="125"/>
      <c r="J395" s="125"/>
      <c r="K395" s="125"/>
      <c r="L395" s="125"/>
      <c r="M395" s="125"/>
      <c r="N395" s="125"/>
      <c r="AF395" s="125"/>
      <c r="AG395" s="125"/>
    </row>
    <row r="396" spans="3:33" x14ac:dyDescent="0.2">
      <c r="C396" s="193"/>
      <c r="D396" s="29"/>
      <c r="E396" s="125"/>
      <c r="F396" s="101"/>
    </row>
    <row r="397" spans="3:33" x14ac:dyDescent="0.2">
      <c r="C397" s="99"/>
      <c r="D397" s="29"/>
      <c r="E397" s="1"/>
      <c r="F397" s="33"/>
    </row>
    <row r="398" spans="3:33" x14ac:dyDescent="0.2">
      <c r="C398" s="193"/>
      <c r="D398" s="29"/>
      <c r="E398" s="1"/>
      <c r="F398" s="101"/>
    </row>
    <row r="399" spans="3:33" x14ac:dyDescent="0.2">
      <c r="C399" s="100"/>
      <c r="D399" s="29"/>
      <c r="E399" s="1"/>
      <c r="F399" s="33"/>
    </row>
    <row r="400" spans="3:33" x14ac:dyDescent="0.2">
      <c r="C400" s="193"/>
      <c r="D400" s="94"/>
      <c r="E400" s="1"/>
      <c r="F400" s="101"/>
    </row>
    <row r="401" spans="3:6" x14ac:dyDescent="0.2">
      <c r="C401" s="100"/>
      <c r="D401" s="94"/>
      <c r="E401" s="1"/>
      <c r="F401" s="96"/>
    </row>
    <row r="402" spans="3:6" x14ac:dyDescent="0.2">
      <c r="C402" s="193"/>
      <c r="D402" s="94"/>
      <c r="E402" s="1"/>
      <c r="F402" s="101"/>
    </row>
    <row r="403" spans="3:6" x14ac:dyDescent="0.2">
      <c r="C403" s="100"/>
      <c r="D403" s="94"/>
      <c r="E403" s="1"/>
      <c r="F403" s="96"/>
    </row>
    <row r="404" spans="3:6" x14ac:dyDescent="0.2">
      <c r="C404" s="193"/>
      <c r="D404" s="94"/>
      <c r="E404" s="1"/>
      <c r="F404" s="101"/>
    </row>
    <row r="405" spans="3:6" x14ac:dyDescent="0.2">
      <c r="C405" s="100"/>
      <c r="D405" s="94"/>
      <c r="E405" s="1"/>
      <c r="F405" s="96"/>
    </row>
    <row r="406" spans="3:6" x14ac:dyDescent="0.2">
      <c r="C406" s="193"/>
      <c r="D406" s="94"/>
      <c r="E406" s="1"/>
      <c r="F406" s="101"/>
    </row>
    <row r="407" spans="3:6" x14ac:dyDescent="0.2">
      <c r="C407" s="32"/>
      <c r="D407" s="29"/>
      <c r="E407" s="33"/>
      <c r="F407" s="32"/>
    </row>
    <row r="408" spans="3:6" x14ac:dyDescent="0.2">
      <c r="C408" s="32"/>
      <c r="D408" s="29"/>
      <c r="E408" s="33"/>
      <c r="F408" s="32"/>
    </row>
    <row r="409" spans="3:6" x14ac:dyDescent="0.2">
      <c r="C409" s="32"/>
      <c r="D409" s="29"/>
      <c r="E409" s="33"/>
      <c r="F409" s="32"/>
    </row>
    <row r="410" spans="3:6" x14ac:dyDescent="0.2">
      <c r="C410" s="32"/>
      <c r="D410" s="29"/>
      <c r="E410" s="33"/>
      <c r="F410" s="32"/>
    </row>
    <row r="411" spans="3:6" x14ac:dyDescent="0.2">
      <c r="C411" s="32"/>
      <c r="D411" s="29"/>
      <c r="E411" s="33"/>
      <c r="F411" s="32"/>
    </row>
    <row r="412" spans="3:6" x14ac:dyDescent="0.2">
      <c r="C412" s="32"/>
      <c r="D412" s="29"/>
      <c r="E412" s="33"/>
      <c r="F412" s="32"/>
    </row>
    <row r="413" spans="3:6" x14ac:dyDescent="0.2">
      <c r="C413" s="32"/>
      <c r="D413" s="29"/>
      <c r="E413" s="33"/>
      <c r="F413" s="32"/>
    </row>
    <row r="414" spans="3:6" x14ac:dyDescent="0.2">
      <c r="C414" s="32"/>
      <c r="D414" s="34"/>
      <c r="E414" s="31"/>
      <c r="F414" s="32"/>
    </row>
    <row r="415" spans="3:6" x14ac:dyDescent="0.2">
      <c r="C415" s="32"/>
      <c r="D415" s="34"/>
      <c r="E415" s="35"/>
      <c r="F415" s="32"/>
    </row>
    <row r="416" spans="3:6" x14ac:dyDescent="0.2">
      <c r="C416" s="29"/>
      <c r="D416" s="30"/>
      <c r="E416" s="31"/>
      <c r="F416" s="29"/>
    </row>
    <row r="417" spans="3:6" x14ac:dyDescent="0.2">
      <c r="C417" s="32"/>
      <c r="D417" s="32"/>
      <c r="E417" s="36"/>
      <c r="F417" s="32"/>
    </row>
    <row r="418" spans="3:6" x14ac:dyDescent="0.2">
      <c r="C418" s="32"/>
      <c r="D418" s="32"/>
      <c r="E418" s="37"/>
      <c r="F418" s="32"/>
    </row>
  </sheetData>
  <autoFilter ref="A12:N271" xr:uid="{00000000-0009-0000-0000-000001000000}"/>
  <mergeCells count="37">
    <mergeCell ref="B254:B257"/>
    <mergeCell ref="A230:A233"/>
    <mergeCell ref="D343:D346"/>
    <mergeCell ref="F143:F144"/>
    <mergeCell ref="E343:E346"/>
    <mergeCell ref="F343:F346"/>
    <mergeCell ref="A173:A176"/>
    <mergeCell ref="A142:A145"/>
    <mergeCell ref="D212:D214"/>
    <mergeCell ref="E212:E214"/>
    <mergeCell ref="F212:F214"/>
    <mergeCell ref="A7:F7"/>
    <mergeCell ref="A8:F8"/>
    <mergeCell ref="A9:F9"/>
    <mergeCell ref="A10:F10"/>
    <mergeCell ref="C197:C200"/>
    <mergeCell ref="B127:B130"/>
    <mergeCell ref="A13:F13"/>
    <mergeCell ref="A65:A69"/>
    <mergeCell ref="C143:C144"/>
    <mergeCell ref="A62:F62"/>
    <mergeCell ref="A38:F38"/>
    <mergeCell ref="F69:F71"/>
    <mergeCell ref="B65:B69"/>
    <mergeCell ref="B90:B91"/>
    <mergeCell ref="F72:F74"/>
    <mergeCell ref="A127:A128"/>
    <mergeCell ref="AD12:AF12"/>
    <mergeCell ref="A132:A136"/>
    <mergeCell ref="A137:A141"/>
    <mergeCell ref="A169:A172"/>
    <mergeCell ref="B173:B176"/>
    <mergeCell ref="B169:B172"/>
    <mergeCell ref="B132:B136"/>
    <mergeCell ref="B137:B141"/>
    <mergeCell ref="H153:H163"/>
    <mergeCell ref="A129:A1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 alignWithMargins="0"/>
  <rowBreaks count="5" manualBreakCount="5">
    <brk id="119" max="5" man="1"/>
    <brk id="155" max="5" man="1"/>
    <brk id="160" max="5" man="1"/>
    <brk id="196" max="5" man="1"/>
    <brk id="2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S218"/>
  <sheetViews>
    <sheetView view="pageBreakPreview" zoomScale="84" zoomScaleNormal="100" zoomScaleSheetLayoutView="84" workbookViewId="0">
      <selection activeCell="C106" sqref="C106"/>
    </sheetView>
  </sheetViews>
  <sheetFormatPr defaultRowHeight="15.75" outlineLevelRow="1" x14ac:dyDescent="0.2"/>
  <cols>
    <col min="1" max="1" width="6.28515625" style="1" customWidth="1"/>
    <col min="2" max="2" width="19.28515625" style="46" customWidth="1"/>
    <col min="3" max="3" width="61" style="1" customWidth="1"/>
    <col min="4" max="4" width="18.42578125" style="7" customWidth="1"/>
    <col min="5" max="5" width="21.140625" style="20" hidden="1" customWidth="1"/>
    <col min="6" max="6" width="21.140625" style="20" customWidth="1"/>
    <col min="7" max="7" width="61" style="1" customWidth="1"/>
    <col min="8" max="16384" width="9.140625" style="1"/>
  </cols>
  <sheetData>
    <row r="1" spans="1:7" x14ac:dyDescent="0.2">
      <c r="E1" s="13"/>
      <c r="F1" s="13"/>
      <c r="G1" s="10" t="s">
        <v>0</v>
      </c>
    </row>
    <row r="2" spans="1:7" x14ac:dyDescent="0.2">
      <c r="E2" s="13"/>
      <c r="F2" s="13"/>
      <c r="G2" s="10" t="s">
        <v>86</v>
      </c>
    </row>
    <row r="3" spans="1:7" x14ac:dyDescent="0.2">
      <c r="E3" s="13"/>
      <c r="F3" s="13"/>
      <c r="G3" s="10" t="s">
        <v>87</v>
      </c>
    </row>
    <row r="4" spans="1:7" x14ac:dyDescent="0.2">
      <c r="E4" s="13"/>
      <c r="F4" s="13"/>
      <c r="G4" s="10" t="s">
        <v>386</v>
      </c>
    </row>
    <row r="5" spans="1:7" x14ac:dyDescent="0.2">
      <c r="E5" s="13"/>
      <c r="F5" s="13"/>
      <c r="G5" s="10" t="s">
        <v>383</v>
      </c>
    </row>
    <row r="6" spans="1:7" x14ac:dyDescent="0.2">
      <c r="D6" s="12"/>
      <c r="E6" s="13"/>
      <c r="F6" s="13"/>
    </row>
    <row r="7" spans="1:7" x14ac:dyDescent="0.2">
      <c r="D7" s="12"/>
      <c r="E7" s="13"/>
      <c r="F7" s="13"/>
    </row>
    <row r="8" spans="1:7" ht="23.25" customHeight="1" x14ac:dyDescent="0.2">
      <c r="A8" s="310" t="s">
        <v>1</v>
      </c>
      <c r="B8" s="310"/>
      <c r="C8" s="310"/>
      <c r="D8" s="310"/>
      <c r="E8" s="310"/>
      <c r="F8" s="310"/>
      <c r="G8" s="310"/>
    </row>
    <row r="9" spans="1:7" ht="21.75" customHeight="1" x14ac:dyDescent="0.2">
      <c r="A9" s="310" t="s">
        <v>2</v>
      </c>
      <c r="B9" s="310"/>
      <c r="C9" s="310"/>
      <c r="D9" s="310"/>
      <c r="E9" s="310"/>
      <c r="F9" s="310"/>
      <c r="G9" s="310"/>
    </row>
    <row r="10" spans="1:7" ht="21.75" customHeight="1" x14ac:dyDescent="0.2">
      <c r="A10" s="310" t="s">
        <v>3</v>
      </c>
      <c r="B10" s="310"/>
      <c r="C10" s="310"/>
      <c r="D10" s="310"/>
      <c r="E10" s="310"/>
      <c r="F10" s="310"/>
      <c r="G10" s="310"/>
    </row>
    <row r="11" spans="1:7" ht="20.25" customHeight="1" x14ac:dyDescent="0.2">
      <c r="A11" s="310" t="s">
        <v>382</v>
      </c>
      <c r="B11" s="310"/>
      <c r="C11" s="310"/>
      <c r="D11" s="310"/>
      <c r="E11" s="310"/>
      <c r="F11" s="310"/>
      <c r="G11" s="310"/>
    </row>
    <row r="12" spans="1:7" ht="20.25" customHeight="1" x14ac:dyDescent="0.2">
      <c r="A12" s="339" t="s">
        <v>423</v>
      </c>
      <c r="B12" s="339"/>
      <c r="C12" s="339"/>
      <c r="D12" s="339"/>
      <c r="E12" s="339"/>
      <c r="F12" s="339"/>
      <c r="G12" s="339"/>
    </row>
    <row r="13" spans="1:7" ht="15" customHeight="1" x14ac:dyDescent="0.2">
      <c r="A13" s="7"/>
      <c r="C13" s="9"/>
      <c r="D13" s="9"/>
      <c r="E13" s="14"/>
      <c r="F13" s="14"/>
      <c r="G13" s="9"/>
    </row>
    <row r="14" spans="1:7" ht="48" customHeight="1" x14ac:dyDescent="0.2">
      <c r="A14" s="28" t="s">
        <v>4</v>
      </c>
      <c r="B14" s="38" t="s">
        <v>117</v>
      </c>
      <c r="C14" s="28" t="s">
        <v>5</v>
      </c>
      <c r="D14" s="28" t="s">
        <v>6</v>
      </c>
      <c r="E14" s="15" t="s">
        <v>7</v>
      </c>
      <c r="F14" s="15" t="s">
        <v>7</v>
      </c>
      <c r="G14" s="28" t="s">
        <v>273</v>
      </c>
    </row>
    <row r="15" spans="1:7" ht="23.25" x14ac:dyDescent="0.2">
      <c r="A15" s="314" t="s">
        <v>8</v>
      </c>
      <c r="B15" s="315"/>
      <c r="C15" s="315"/>
      <c r="D15" s="315"/>
      <c r="E15" s="315"/>
      <c r="F15" s="315"/>
      <c r="G15" s="340"/>
    </row>
    <row r="16" spans="1:7" x14ac:dyDescent="0.2">
      <c r="A16" s="66">
        <v>1</v>
      </c>
      <c r="B16" s="47" t="s">
        <v>127</v>
      </c>
      <c r="C16" s="2" t="s">
        <v>125</v>
      </c>
      <c r="D16" s="66" t="s">
        <v>9</v>
      </c>
      <c r="E16" s="16">
        <v>800</v>
      </c>
      <c r="F16" s="16">
        <f>ROUND(E16*0.8,-1)</f>
        <v>640</v>
      </c>
      <c r="G16" s="2" t="s">
        <v>125</v>
      </c>
    </row>
    <row r="17" spans="1:7" x14ac:dyDescent="0.2">
      <c r="A17" s="66">
        <v>2</v>
      </c>
      <c r="B17" s="47" t="s">
        <v>119</v>
      </c>
      <c r="C17" s="2" t="s">
        <v>118</v>
      </c>
      <c r="D17" s="66" t="s">
        <v>9</v>
      </c>
      <c r="E17" s="16">
        <v>1000</v>
      </c>
      <c r="F17" s="16">
        <f t="shared" ref="F17:F80" si="0">ROUND(E17*0.8,-1)</f>
        <v>800</v>
      </c>
      <c r="G17" s="2" t="s">
        <v>118</v>
      </c>
    </row>
    <row r="18" spans="1:7" ht="31.5" x14ac:dyDescent="0.2">
      <c r="A18" s="66">
        <v>3</v>
      </c>
      <c r="B18" s="47" t="s">
        <v>121</v>
      </c>
      <c r="C18" s="2" t="s">
        <v>120</v>
      </c>
      <c r="D18" s="66" t="s">
        <v>9</v>
      </c>
      <c r="E18" s="16">
        <v>900</v>
      </c>
      <c r="F18" s="16">
        <f t="shared" si="0"/>
        <v>720</v>
      </c>
      <c r="G18" s="2" t="s">
        <v>120</v>
      </c>
    </row>
    <row r="19" spans="1:7" ht="31.5" x14ac:dyDescent="0.2">
      <c r="A19" s="66">
        <v>4</v>
      </c>
      <c r="B19" s="47" t="s">
        <v>137</v>
      </c>
      <c r="C19" s="2" t="s">
        <v>136</v>
      </c>
      <c r="D19" s="66" t="s">
        <v>9</v>
      </c>
      <c r="E19" s="16">
        <v>800</v>
      </c>
      <c r="F19" s="16">
        <f t="shared" si="0"/>
        <v>640</v>
      </c>
      <c r="G19" s="2" t="s">
        <v>136</v>
      </c>
    </row>
    <row r="20" spans="1:7" ht="31.5" x14ac:dyDescent="0.2">
      <c r="A20" s="66">
        <v>5</v>
      </c>
      <c r="B20" s="47" t="s">
        <v>141</v>
      </c>
      <c r="C20" s="2" t="s">
        <v>140</v>
      </c>
      <c r="D20" s="66" t="s">
        <v>9</v>
      </c>
      <c r="E20" s="16">
        <v>700</v>
      </c>
      <c r="F20" s="16">
        <f t="shared" si="0"/>
        <v>560</v>
      </c>
      <c r="G20" s="2" t="s">
        <v>140</v>
      </c>
    </row>
    <row r="21" spans="1:7" ht="31.5" x14ac:dyDescent="0.2">
      <c r="A21" s="66">
        <v>6</v>
      </c>
      <c r="B21" s="47" t="s">
        <v>126</v>
      </c>
      <c r="C21" s="2" t="s">
        <v>124</v>
      </c>
      <c r="D21" s="66" t="s">
        <v>9</v>
      </c>
      <c r="E21" s="16">
        <v>1500</v>
      </c>
      <c r="F21" s="16">
        <f t="shared" si="0"/>
        <v>1200</v>
      </c>
      <c r="G21" s="2" t="s">
        <v>124</v>
      </c>
    </row>
    <row r="22" spans="1:7" x14ac:dyDescent="0.2">
      <c r="A22" s="66">
        <v>7</v>
      </c>
      <c r="B22" s="47" t="s">
        <v>145</v>
      </c>
      <c r="C22" s="2" t="s">
        <v>144</v>
      </c>
      <c r="D22" s="66" t="s">
        <v>9</v>
      </c>
      <c r="E22" s="16">
        <v>900</v>
      </c>
      <c r="F22" s="16">
        <f t="shared" si="0"/>
        <v>720</v>
      </c>
      <c r="G22" s="2" t="s">
        <v>144</v>
      </c>
    </row>
    <row r="23" spans="1:7" ht="31.5" x14ac:dyDescent="0.2">
      <c r="A23" s="66">
        <v>8</v>
      </c>
      <c r="B23" s="47" t="s">
        <v>149</v>
      </c>
      <c r="C23" s="2" t="s">
        <v>148</v>
      </c>
      <c r="D23" s="66" t="s">
        <v>9</v>
      </c>
      <c r="E23" s="16">
        <v>900</v>
      </c>
      <c r="F23" s="16">
        <f t="shared" si="0"/>
        <v>720</v>
      </c>
      <c r="G23" s="2" t="s">
        <v>148</v>
      </c>
    </row>
    <row r="24" spans="1:7" x14ac:dyDescent="0.2">
      <c r="A24" s="66">
        <v>9</v>
      </c>
      <c r="B24" s="43" t="s">
        <v>153</v>
      </c>
      <c r="C24" s="2" t="s">
        <v>152</v>
      </c>
      <c r="D24" s="66" t="s">
        <v>9</v>
      </c>
      <c r="E24" s="16">
        <v>900</v>
      </c>
      <c r="F24" s="16">
        <f t="shared" si="0"/>
        <v>720</v>
      </c>
      <c r="G24" s="2" t="s">
        <v>152</v>
      </c>
    </row>
    <row r="25" spans="1:7" ht="31.5" x14ac:dyDescent="0.2">
      <c r="A25" s="66">
        <v>10</v>
      </c>
      <c r="B25" s="47" t="s">
        <v>123</v>
      </c>
      <c r="C25" s="2" t="s">
        <v>122</v>
      </c>
      <c r="D25" s="66" t="s">
        <v>9</v>
      </c>
      <c r="E25" s="16">
        <v>1000</v>
      </c>
      <c r="F25" s="16">
        <f t="shared" si="0"/>
        <v>800</v>
      </c>
      <c r="G25" s="2" t="s">
        <v>122</v>
      </c>
    </row>
    <row r="26" spans="1:7" x14ac:dyDescent="0.2">
      <c r="A26" s="66">
        <v>11</v>
      </c>
      <c r="B26" s="47" t="s">
        <v>157</v>
      </c>
      <c r="C26" s="2" t="s">
        <v>156</v>
      </c>
      <c r="D26" s="66" t="s">
        <v>9</v>
      </c>
      <c r="E26" s="16">
        <v>600</v>
      </c>
      <c r="F26" s="16">
        <f t="shared" si="0"/>
        <v>480</v>
      </c>
      <c r="G26" s="2" t="s">
        <v>156</v>
      </c>
    </row>
    <row r="27" spans="1:7" ht="31.5" x14ac:dyDescent="0.2">
      <c r="A27" s="66">
        <v>12</v>
      </c>
      <c r="B27" s="47" t="s">
        <v>163</v>
      </c>
      <c r="C27" s="2" t="s">
        <v>162</v>
      </c>
      <c r="D27" s="66" t="s">
        <v>9</v>
      </c>
      <c r="E27" s="16">
        <v>600</v>
      </c>
      <c r="F27" s="16">
        <f t="shared" si="0"/>
        <v>480</v>
      </c>
      <c r="G27" s="2" t="s">
        <v>162</v>
      </c>
    </row>
    <row r="28" spans="1:7" ht="19.5" customHeight="1" x14ac:dyDescent="0.2">
      <c r="A28" s="66">
        <v>13</v>
      </c>
      <c r="B28" s="47" t="s">
        <v>165</v>
      </c>
      <c r="C28" s="2" t="s">
        <v>164</v>
      </c>
      <c r="D28" s="66" t="s">
        <v>9</v>
      </c>
      <c r="E28" s="16">
        <v>800</v>
      </c>
      <c r="F28" s="16">
        <f t="shared" si="0"/>
        <v>640</v>
      </c>
      <c r="G28" s="2" t="s">
        <v>164</v>
      </c>
    </row>
    <row r="29" spans="1:7" ht="31.5" x14ac:dyDescent="0.2">
      <c r="A29" s="66">
        <v>14</v>
      </c>
      <c r="B29" s="47" t="s">
        <v>167</v>
      </c>
      <c r="C29" s="2" t="s">
        <v>166</v>
      </c>
      <c r="D29" s="66" t="s">
        <v>9</v>
      </c>
      <c r="E29" s="16">
        <v>800</v>
      </c>
      <c r="F29" s="16">
        <f t="shared" si="0"/>
        <v>640</v>
      </c>
      <c r="G29" s="2" t="s">
        <v>166</v>
      </c>
    </row>
    <row r="30" spans="1:7" ht="30" customHeight="1" x14ac:dyDescent="0.2">
      <c r="A30" s="66">
        <v>15</v>
      </c>
      <c r="B30" s="47" t="s">
        <v>123</v>
      </c>
      <c r="C30" s="2" t="s">
        <v>122</v>
      </c>
      <c r="D30" s="66" t="s">
        <v>9</v>
      </c>
      <c r="E30" s="16">
        <v>1200</v>
      </c>
      <c r="F30" s="16">
        <f t="shared" si="0"/>
        <v>960</v>
      </c>
      <c r="G30" s="2" t="s">
        <v>122</v>
      </c>
    </row>
    <row r="31" spans="1:7" ht="23.25" x14ac:dyDescent="0.2">
      <c r="A31" s="314" t="s">
        <v>10</v>
      </c>
      <c r="B31" s="315"/>
      <c r="C31" s="315"/>
      <c r="D31" s="315"/>
      <c r="E31" s="315"/>
      <c r="F31" s="315"/>
      <c r="G31" s="340"/>
    </row>
    <row r="32" spans="1:7" ht="15.75" customHeight="1" x14ac:dyDescent="0.2">
      <c r="A32" s="66">
        <v>1</v>
      </c>
      <c r="B32" s="47" t="s">
        <v>135</v>
      </c>
      <c r="C32" s="2" t="s">
        <v>134</v>
      </c>
      <c r="D32" s="66" t="s">
        <v>9</v>
      </c>
      <c r="E32" s="16">
        <v>400</v>
      </c>
      <c r="F32" s="16">
        <f t="shared" si="0"/>
        <v>320</v>
      </c>
      <c r="G32" s="2" t="s">
        <v>134</v>
      </c>
    </row>
    <row r="33" spans="1:7" ht="31.5" x14ac:dyDescent="0.2">
      <c r="A33" s="66">
        <v>2</v>
      </c>
      <c r="B33" s="47" t="s">
        <v>129</v>
      </c>
      <c r="C33" s="2" t="s">
        <v>128</v>
      </c>
      <c r="D33" s="66" t="s">
        <v>9</v>
      </c>
      <c r="E33" s="16">
        <v>500</v>
      </c>
      <c r="F33" s="16">
        <f t="shared" si="0"/>
        <v>400</v>
      </c>
      <c r="G33" s="2" t="s">
        <v>128</v>
      </c>
    </row>
    <row r="34" spans="1:7" ht="31.5" x14ac:dyDescent="0.2">
      <c r="A34" s="66">
        <v>3</v>
      </c>
      <c r="B34" s="47" t="s">
        <v>130</v>
      </c>
      <c r="C34" s="2" t="s">
        <v>131</v>
      </c>
      <c r="D34" s="66" t="s">
        <v>9</v>
      </c>
      <c r="E34" s="16">
        <v>500</v>
      </c>
      <c r="F34" s="16">
        <f t="shared" si="0"/>
        <v>400</v>
      </c>
      <c r="G34" s="2" t="s">
        <v>131</v>
      </c>
    </row>
    <row r="35" spans="1:7" ht="31.5" x14ac:dyDescent="0.2">
      <c r="A35" s="66">
        <v>4</v>
      </c>
      <c r="B35" s="47" t="s">
        <v>139</v>
      </c>
      <c r="C35" s="2" t="s">
        <v>138</v>
      </c>
      <c r="D35" s="66" t="s">
        <v>9</v>
      </c>
      <c r="E35" s="16">
        <v>400</v>
      </c>
      <c r="F35" s="16">
        <f t="shared" si="0"/>
        <v>320</v>
      </c>
      <c r="G35" s="2" t="s">
        <v>138</v>
      </c>
    </row>
    <row r="36" spans="1:7" ht="31.5" x14ac:dyDescent="0.25">
      <c r="A36" s="66">
        <v>5</v>
      </c>
      <c r="B36" s="42" t="s">
        <v>143</v>
      </c>
      <c r="C36" s="2" t="s">
        <v>142</v>
      </c>
      <c r="D36" s="66" t="s">
        <v>9</v>
      </c>
      <c r="E36" s="16">
        <v>400</v>
      </c>
      <c r="F36" s="16">
        <f t="shared" si="0"/>
        <v>320</v>
      </c>
      <c r="G36" s="2" t="s">
        <v>142</v>
      </c>
    </row>
    <row r="37" spans="1:7" ht="31.5" x14ac:dyDescent="0.2">
      <c r="A37" s="66">
        <v>6</v>
      </c>
      <c r="B37" s="47" t="s">
        <v>133</v>
      </c>
      <c r="C37" s="2" t="s">
        <v>132</v>
      </c>
      <c r="D37" s="66" t="s">
        <v>9</v>
      </c>
      <c r="E37" s="16">
        <v>500</v>
      </c>
      <c r="F37" s="16">
        <f t="shared" si="0"/>
        <v>400</v>
      </c>
      <c r="G37" s="2" t="s">
        <v>132</v>
      </c>
    </row>
    <row r="38" spans="1:7" x14ac:dyDescent="0.2">
      <c r="A38" s="66">
        <v>7</v>
      </c>
      <c r="B38" s="47" t="s">
        <v>147</v>
      </c>
      <c r="C38" s="2" t="s">
        <v>146</v>
      </c>
      <c r="D38" s="66" t="s">
        <v>9</v>
      </c>
      <c r="E38" s="16">
        <v>400</v>
      </c>
      <c r="F38" s="16">
        <f t="shared" si="0"/>
        <v>320</v>
      </c>
      <c r="G38" s="2" t="s">
        <v>146</v>
      </c>
    </row>
    <row r="39" spans="1:7" ht="31.5" x14ac:dyDescent="0.25">
      <c r="A39" s="66">
        <v>8</v>
      </c>
      <c r="B39" s="47" t="s">
        <v>151</v>
      </c>
      <c r="C39" s="27" t="s">
        <v>150</v>
      </c>
      <c r="D39" s="66" t="s">
        <v>9</v>
      </c>
      <c r="E39" s="16">
        <v>500</v>
      </c>
      <c r="F39" s="16">
        <f t="shared" si="0"/>
        <v>400</v>
      </c>
      <c r="G39" s="40" t="s">
        <v>150</v>
      </c>
    </row>
    <row r="40" spans="1:7" x14ac:dyDescent="0.2">
      <c r="A40" s="66">
        <v>9</v>
      </c>
      <c r="B40" s="47" t="s">
        <v>155</v>
      </c>
      <c r="C40" s="2" t="s">
        <v>154</v>
      </c>
      <c r="D40" s="66" t="s">
        <v>9</v>
      </c>
      <c r="E40" s="16">
        <v>500</v>
      </c>
      <c r="F40" s="16">
        <f t="shared" si="0"/>
        <v>400</v>
      </c>
      <c r="G40" s="2" t="s">
        <v>154</v>
      </c>
    </row>
    <row r="41" spans="1:7" ht="31.5" x14ac:dyDescent="0.2">
      <c r="A41" s="66">
        <v>10</v>
      </c>
      <c r="B41" s="47" t="s">
        <v>161</v>
      </c>
      <c r="C41" s="2" t="s">
        <v>160</v>
      </c>
      <c r="D41" s="66" t="s">
        <v>9</v>
      </c>
      <c r="E41" s="16">
        <v>500</v>
      </c>
      <c r="F41" s="16">
        <f t="shared" si="0"/>
        <v>400</v>
      </c>
      <c r="G41" s="2" t="s">
        <v>160</v>
      </c>
    </row>
    <row r="42" spans="1:7" ht="31.5" x14ac:dyDescent="0.2">
      <c r="A42" s="66">
        <v>11</v>
      </c>
      <c r="B42" s="47" t="s">
        <v>159</v>
      </c>
      <c r="C42" s="2" t="s">
        <v>158</v>
      </c>
      <c r="D42" s="66" t="s">
        <v>9</v>
      </c>
      <c r="E42" s="16">
        <v>400</v>
      </c>
      <c r="F42" s="16">
        <f t="shared" si="0"/>
        <v>320</v>
      </c>
      <c r="G42" s="2" t="s">
        <v>158</v>
      </c>
    </row>
    <row r="43" spans="1:7" ht="31.5" x14ac:dyDescent="0.2">
      <c r="A43" s="66">
        <v>12</v>
      </c>
      <c r="B43" s="47" t="s">
        <v>169</v>
      </c>
      <c r="C43" s="2" t="s">
        <v>168</v>
      </c>
      <c r="D43" s="66" t="s">
        <v>9</v>
      </c>
      <c r="E43" s="16">
        <v>400</v>
      </c>
      <c r="F43" s="16">
        <f t="shared" si="0"/>
        <v>320</v>
      </c>
      <c r="G43" s="2" t="s">
        <v>168</v>
      </c>
    </row>
    <row r="44" spans="1:7" ht="30.75" customHeight="1" x14ac:dyDescent="0.2">
      <c r="A44" s="66">
        <v>13</v>
      </c>
      <c r="B44" s="67" t="s">
        <v>161</v>
      </c>
      <c r="C44" s="2" t="s">
        <v>170</v>
      </c>
      <c r="D44" s="53" t="s">
        <v>9</v>
      </c>
      <c r="E44" s="70">
        <v>600</v>
      </c>
      <c r="F44" s="16">
        <f t="shared" si="0"/>
        <v>480</v>
      </c>
      <c r="G44" s="54" t="s">
        <v>170</v>
      </c>
    </row>
    <row r="45" spans="1:7" x14ac:dyDescent="0.25">
      <c r="A45" s="66">
        <v>14</v>
      </c>
      <c r="B45" s="5" t="s">
        <v>392</v>
      </c>
      <c r="C45" s="39" t="s">
        <v>391</v>
      </c>
      <c r="D45" s="53" t="s">
        <v>393</v>
      </c>
      <c r="E45" s="70">
        <v>500</v>
      </c>
      <c r="F45" s="16">
        <f t="shared" si="0"/>
        <v>400</v>
      </c>
      <c r="G45" s="54"/>
    </row>
    <row r="46" spans="1:7" x14ac:dyDescent="0.2">
      <c r="A46" s="66">
        <v>15</v>
      </c>
      <c r="B46" s="5" t="s">
        <v>389</v>
      </c>
      <c r="C46" s="5" t="s">
        <v>390</v>
      </c>
      <c r="D46" s="66" t="s">
        <v>12</v>
      </c>
      <c r="E46" s="16">
        <v>600</v>
      </c>
      <c r="F46" s="16">
        <f t="shared" si="0"/>
        <v>480</v>
      </c>
      <c r="G46" s="2"/>
    </row>
    <row r="47" spans="1:7" ht="23.25" outlineLevel="1" x14ac:dyDescent="0.2">
      <c r="A47" s="316" t="s">
        <v>11</v>
      </c>
      <c r="B47" s="317"/>
      <c r="C47" s="317"/>
      <c r="D47" s="317"/>
      <c r="E47" s="317"/>
      <c r="F47" s="317"/>
      <c r="G47" s="341"/>
    </row>
    <row r="48" spans="1:7" outlineLevel="1" x14ac:dyDescent="0.2">
      <c r="A48" s="66">
        <v>1</v>
      </c>
      <c r="B48" s="47" t="s">
        <v>171</v>
      </c>
      <c r="C48" s="69" t="s">
        <v>275</v>
      </c>
      <c r="D48" s="66" t="s">
        <v>12</v>
      </c>
      <c r="E48" s="16">
        <v>250</v>
      </c>
      <c r="F48" s="16">
        <f t="shared" si="0"/>
        <v>200</v>
      </c>
      <c r="G48" s="69" t="s">
        <v>274</v>
      </c>
    </row>
    <row r="49" spans="1:7" outlineLevel="1" x14ac:dyDescent="0.2">
      <c r="A49" s="66">
        <f>A48+1</f>
        <v>2</v>
      </c>
      <c r="B49" s="47" t="s">
        <v>276</v>
      </c>
      <c r="C49" s="2" t="s">
        <v>191</v>
      </c>
      <c r="D49" s="66" t="s">
        <v>12</v>
      </c>
      <c r="E49" s="16">
        <v>170</v>
      </c>
      <c r="F49" s="16">
        <f t="shared" si="0"/>
        <v>140</v>
      </c>
      <c r="G49" s="2" t="s">
        <v>191</v>
      </c>
    </row>
    <row r="50" spans="1:7" outlineLevel="1" x14ac:dyDescent="0.2">
      <c r="A50" s="321">
        <v>3</v>
      </c>
      <c r="B50" s="337" t="s">
        <v>277</v>
      </c>
      <c r="C50" s="2" t="s">
        <v>280</v>
      </c>
      <c r="D50" s="2"/>
      <c r="E50" s="2"/>
      <c r="F50" s="2"/>
      <c r="G50" s="343" t="s">
        <v>279</v>
      </c>
    </row>
    <row r="51" spans="1:7" ht="18.75" customHeight="1" outlineLevel="1" x14ac:dyDescent="0.2">
      <c r="A51" s="321"/>
      <c r="B51" s="342"/>
      <c r="C51" s="3" t="s">
        <v>13</v>
      </c>
      <c r="D51" s="66" t="s">
        <v>12</v>
      </c>
      <c r="E51" s="17">
        <v>100</v>
      </c>
      <c r="F51" s="17">
        <f t="shared" si="0"/>
        <v>80</v>
      </c>
      <c r="G51" s="344"/>
    </row>
    <row r="52" spans="1:7" ht="16.5" customHeight="1" outlineLevel="1" x14ac:dyDescent="0.2">
      <c r="A52" s="321"/>
      <c r="B52" s="338"/>
      <c r="C52" s="3" t="s">
        <v>14</v>
      </c>
      <c r="D52" s="66" t="s">
        <v>12</v>
      </c>
      <c r="E52" s="17">
        <v>120</v>
      </c>
      <c r="F52" s="17">
        <f t="shared" si="0"/>
        <v>100</v>
      </c>
      <c r="G52" s="345"/>
    </row>
    <row r="53" spans="1:7" outlineLevel="1" x14ac:dyDescent="0.2">
      <c r="A53" s="66">
        <v>4</v>
      </c>
      <c r="B53" s="47" t="s">
        <v>197</v>
      </c>
      <c r="C53" s="2" t="s">
        <v>278</v>
      </c>
      <c r="D53" s="66" t="s">
        <v>12</v>
      </c>
      <c r="E53" s="17">
        <v>250</v>
      </c>
      <c r="F53" s="17">
        <f t="shared" si="0"/>
        <v>200</v>
      </c>
      <c r="G53" s="2" t="s">
        <v>281</v>
      </c>
    </row>
    <row r="54" spans="1:7" outlineLevel="1" x14ac:dyDescent="0.2">
      <c r="A54" s="66">
        <f>A53+1</f>
        <v>5</v>
      </c>
      <c r="B54" s="47" t="s">
        <v>192</v>
      </c>
      <c r="C54" s="2" t="s">
        <v>282</v>
      </c>
      <c r="D54" s="66" t="s">
        <v>12</v>
      </c>
      <c r="E54" s="17">
        <v>250</v>
      </c>
      <c r="F54" s="17">
        <f t="shared" si="0"/>
        <v>200</v>
      </c>
      <c r="G54" s="2" t="s">
        <v>198</v>
      </c>
    </row>
    <row r="55" spans="1:7" ht="31.5" outlineLevel="1" x14ac:dyDescent="0.2">
      <c r="A55" s="66">
        <v>6</v>
      </c>
      <c r="B55" s="47" t="s">
        <v>194</v>
      </c>
      <c r="C55" s="22" t="s">
        <v>283</v>
      </c>
      <c r="D55" s="66" t="s">
        <v>12</v>
      </c>
      <c r="E55" s="16">
        <v>170</v>
      </c>
      <c r="F55" s="16">
        <f t="shared" si="0"/>
        <v>140</v>
      </c>
      <c r="G55" s="22" t="s">
        <v>284</v>
      </c>
    </row>
    <row r="56" spans="1:7" outlineLevel="1" x14ac:dyDescent="0.2">
      <c r="A56" s="66">
        <v>7</v>
      </c>
      <c r="B56" s="47" t="s">
        <v>193</v>
      </c>
      <c r="C56" s="22" t="s">
        <v>285</v>
      </c>
      <c r="D56" s="66" t="s">
        <v>12</v>
      </c>
      <c r="E56" s="16">
        <v>170</v>
      </c>
      <c r="F56" s="16">
        <f t="shared" si="0"/>
        <v>140</v>
      </c>
      <c r="G56" s="22" t="s">
        <v>286</v>
      </c>
    </row>
    <row r="57" spans="1:7" outlineLevel="1" x14ac:dyDescent="0.2">
      <c r="A57" s="66">
        <v>8</v>
      </c>
      <c r="B57" s="47" t="s">
        <v>195</v>
      </c>
      <c r="C57" s="2" t="s">
        <v>287</v>
      </c>
      <c r="D57" s="66" t="s">
        <v>12</v>
      </c>
      <c r="E57" s="16">
        <v>170</v>
      </c>
      <c r="F57" s="16">
        <f t="shared" si="0"/>
        <v>140</v>
      </c>
      <c r="G57" s="2" t="s">
        <v>288</v>
      </c>
    </row>
    <row r="58" spans="1:7" ht="47.25" outlineLevel="1" x14ac:dyDescent="0.2">
      <c r="A58" s="66">
        <v>9</v>
      </c>
      <c r="B58" s="47" t="s">
        <v>291</v>
      </c>
      <c r="C58" s="2" t="s">
        <v>289</v>
      </c>
      <c r="D58" s="66" t="s">
        <v>12</v>
      </c>
      <c r="E58" s="16">
        <v>200</v>
      </c>
      <c r="F58" s="16">
        <f t="shared" si="0"/>
        <v>160</v>
      </c>
      <c r="G58" s="2" t="s">
        <v>290</v>
      </c>
    </row>
    <row r="59" spans="1:7" ht="31.5" outlineLevel="1" x14ac:dyDescent="0.2">
      <c r="A59" s="66">
        <v>10</v>
      </c>
      <c r="B59" s="47" t="s">
        <v>196</v>
      </c>
      <c r="C59" s="2" t="s">
        <v>292</v>
      </c>
      <c r="D59" s="66" t="s">
        <v>12</v>
      </c>
      <c r="E59" s="16">
        <v>200</v>
      </c>
      <c r="F59" s="16">
        <f t="shared" si="0"/>
        <v>160</v>
      </c>
      <c r="G59" s="2" t="s">
        <v>293</v>
      </c>
    </row>
    <row r="60" spans="1:7" outlineLevel="1" x14ac:dyDescent="0.2">
      <c r="A60" s="66">
        <v>11</v>
      </c>
      <c r="B60" s="47" t="s">
        <v>294</v>
      </c>
      <c r="C60" s="2" t="s">
        <v>295</v>
      </c>
      <c r="D60" s="66" t="s">
        <v>12</v>
      </c>
      <c r="E60" s="16">
        <v>200</v>
      </c>
      <c r="F60" s="16">
        <f t="shared" si="0"/>
        <v>160</v>
      </c>
      <c r="G60" s="2" t="s">
        <v>203</v>
      </c>
    </row>
    <row r="61" spans="1:7" ht="31.5" outlineLevel="1" x14ac:dyDescent="0.2">
      <c r="A61" s="66">
        <v>12</v>
      </c>
      <c r="B61" s="47" t="s">
        <v>297</v>
      </c>
      <c r="C61" s="22" t="s">
        <v>298</v>
      </c>
      <c r="D61" s="66" t="s">
        <v>12</v>
      </c>
      <c r="E61" s="16">
        <v>200</v>
      </c>
      <c r="F61" s="16">
        <f t="shared" si="0"/>
        <v>160</v>
      </c>
      <c r="G61" s="22" t="s">
        <v>296</v>
      </c>
    </row>
    <row r="62" spans="1:7" outlineLevel="1" x14ac:dyDescent="0.2">
      <c r="A62" s="66">
        <v>13</v>
      </c>
      <c r="B62" s="47" t="s">
        <v>199</v>
      </c>
      <c r="C62" s="22" t="s">
        <v>200</v>
      </c>
      <c r="D62" s="66" t="s">
        <v>12</v>
      </c>
      <c r="E62" s="16">
        <v>150</v>
      </c>
      <c r="F62" s="16">
        <f t="shared" si="0"/>
        <v>120</v>
      </c>
      <c r="G62" s="22" t="s">
        <v>200</v>
      </c>
    </row>
    <row r="63" spans="1:7" outlineLevel="1" x14ac:dyDescent="0.2">
      <c r="A63" s="66">
        <v>14</v>
      </c>
      <c r="B63" s="47" t="s">
        <v>201</v>
      </c>
      <c r="C63" s="22" t="s">
        <v>202</v>
      </c>
      <c r="D63" s="66" t="s">
        <v>12</v>
      </c>
      <c r="E63" s="16">
        <v>200</v>
      </c>
      <c r="F63" s="16">
        <f t="shared" si="0"/>
        <v>160</v>
      </c>
      <c r="G63" s="22" t="s">
        <v>202</v>
      </c>
    </row>
    <row r="64" spans="1:7" outlineLevel="1" x14ac:dyDescent="0.2">
      <c r="A64" s="66">
        <v>15</v>
      </c>
      <c r="B64" s="47" t="s">
        <v>172</v>
      </c>
      <c r="C64" s="2" t="s">
        <v>299</v>
      </c>
      <c r="D64" s="66" t="s">
        <v>12</v>
      </c>
      <c r="E64" s="16">
        <v>250</v>
      </c>
      <c r="F64" s="16">
        <f t="shared" si="0"/>
        <v>200</v>
      </c>
      <c r="G64" s="2" t="s">
        <v>204</v>
      </c>
    </row>
    <row r="65" spans="1:7" outlineLevel="1" x14ac:dyDescent="0.2">
      <c r="A65" s="66">
        <v>16</v>
      </c>
      <c r="B65" s="47" t="s">
        <v>205</v>
      </c>
      <c r="C65" s="22" t="s">
        <v>206</v>
      </c>
      <c r="D65" s="66" t="s">
        <v>12</v>
      </c>
      <c r="E65" s="16">
        <v>100</v>
      </c>
      <c r="F65" s="16">
        <f t="shared" si="0"/>
        <v>80</v>
      </c>
      <c r="G65" s="22" t="s">
        <v>206</v>
      </c>
    </row>
    <row r="66" spans="1:7" ht="31.5" outlineLevel="1" x14ac:dyDescent="0.25">
      <c r="A66" s="66">
        <f t="shared" ref="A66:A78" si="1">A65+1</f>
        <v>17</v>
      </c>
      <c r="B66" s="45" t="s">
        <v>395</v>
      </c>
      <c r="C66" s="41" t="s">
        <v>394</v>
      </c>
      <c r="D66" s="66" t="s">
        <v>12</v>
      </c>
      <c r="E66" s="16">
        <v>150</v>
      </c>
      <c r="F66" s="16">
        <f t="shared" si="0"/>
        <v>120</v>
      </c>
      <c r="G66" s="22" t="s">
        <v>304</v>
      </c>
    </row>
    <row r="67" spans="1:7" outlineLevel="1" x14ac:dyDescent="0.25">
      <c r="A67" s="66">
        <f t="shared" si="1"/>
        <v>18</v>
      </c>
      <c r="B67" s="48" t="s">
        <v>301</v>
      </c>
      <c r="C67" s="39" t="s">
        <v>300</v>
      </c>
      <c r="D67" s="66" t="s">
        <v>12</v>
      </c>
      <c r="E67" s="16">
        <v>100</v>
      </c>
      <c r="F67" s="16">
        <f t="shared" si="0"/>
        <v>80</v>
      </c>
      <c r="G67" s="22" t="s">
        <v>302</v>
      </c>
    </row>
    <row r="68" spans="1:7" outlineLevel="1" x14ac:dyDescent="0.2">
      <c r="A68" s="66">
        <f t="shared" si="1"/>
        <v>19</v>
      </c>
      <c r="B68" s="47" t="s">
        <v>207</v>
      </c>
      <c r="C68" s="22" t="s">
        <v>303</v>
      </c>
      <c r="D68" s="66" t="s">
        <v>12</v>
      </c>
      <c r="E68" s="16">
        <v>100</v>
      </c>
      <c r="F68" s="16">
        <f t="shared" si="0"/>
        <v>80</v>
      </c>
      <c r="G68" s="22" t="s">
        <v>305</v>
      </c>
    </row>
    <row r="69" spans="1:7" ht="31.5" outlineLevel="1" x14ac:dyDescent="0.2">
      <c r="A69" s="66">
        <f t="shared" si="1"/>
        <v>20</v>
      </c>
      <c r="B69" s="47" t="s">
        <v>209</v>
      </c>
      <c r="C69" s="22" t="s">
        <v>306</v>
      </c>
      <c r="D69" s="66" t="s">
        <v>12</v>
      </c>
      <c r="E69" s="16">
        <v>450</v>
      </c>
      <c r="F69" s="16">
        <f t="shared" si="0"/>
        <v>360</v>
      </c>
      <c r="G69" s="22" t="s">
        <v>308</v>
      </c>
    </row>
    <row r="70" spans="1:7" ht="31.5" outlineLevel="1" x14ac:dyDescent="0.2">
      <c r="A70" s="66">
        <f t="shared" si="1"/>
        <v>21</v>
      </c>
      <c r="B70" s="47" t="s">
        <v>209</v>
      </c>
      <c r="C70" s="22" t="s">
        <v>307</v>
      </c>
      <c r="D70" s="66" t="s">
        <v>12</v>
      </c>
      <c r="E70" s="16">
        <v>550</v>
      </c>
      <c r="F70" s="16">
        <f t="shared" si="0"/>
        <v>440</v>
      </c>
      <c r="G70" s="22" t="s">
        <v>309</v>
      </c>
    </row>
    <row r="71" spans="1:7" outlineLevel="1" x14ac:dyDescent="0.2">
      <c r="A71" s="66">
        <f t="shared" si="1"/>
        <v>22</v>
      </c>
      <c r="B71" s="47" t="s">
        <v>186</v>
      </c>
      <c r="C71" s="22" t="s">
        <v>210</v>
      </c>
      <c r="D71" s="66" t="s">
        <v>12</v>
      </c>
      <c r="E71" s="16">
        <v>300</v>
      </c>
      <c r="F71" s="16">
        <f t="shared" si="0"/>
        <v>240</v>
      </c>
      <c r="G71" s="22" t="s">
        <v>210</v>
      </c>
    </row>
    <row r="72" spans="1:7" ht="17.25" customHeight="1" outlineLevel="1" x14ac:dyDescent="0.2">
      <c r="A72" s="66">
        <f t="shared" si="1"/>
        <v>23</v>
      </c>
      <c r="B72" s="337" t="s">
        <v>212</v>
      </c>
      <c r="C72" s="306" t="s">
        <v>310</v>
      </c>
      <c r="D72" s="66" t="s">
        <v>15</v>
      </c>
      <c r="E72" s="16">
        <v>600</v>
      </c>
      <c r="F72" s="16">
        <f t="shared" si="0"/>
        <v>480</v>
      </c>
      <c r="G72" s="306" t="s">
        <v>211</v>
      </c>
    </row>
    <row r="73" spans="1:7" outlineLevel="1" x14ac:dyDescent="0.2">
      <c r="A73" s="66">
        <f t="shared" si="1"/>
        <v>24</v>
      </c>
      <c r="B73" s="338"/>
      <c r="C73" s="308"/>
      <c r="D73" s="66" t="s">
        <v>16</v>
      </c>
      <c r="E73" s="16">
        <v>800</v>
      </c>
      <c r="F73" s="16">
        <f t="shared" si="0"/>
        <v>640</v>
      </c>
      <c r="G73" s="308"/>
    </row>
    <row r="74" spans="1:7" ht="63" outlineLevel="1" x14ac:dyDescent="0.2">
      <c r="A74" s="66">
        <f t="shared" si="1"/>
        <v>25</v>
      </c>
      <c r="B74" s="47" t="s">
        <v>214</v>
      </c>
      <c r="C74" s="2" t="s">
        <v>311</v>
      </c>
      <c r="D74" s="66" t="s">
        <v>12</v>
      </c>
      <c r="E74" s="16">
        <v>600</v>
      </c>
      <c r="F74" s="16">
        <f t="shared" si="0"/>
        <v>480</v>
      </c>
      <c r="G74" s="2" t="s">
        <v>215</v>
      </c>
    </row>
    <row r="75" spans="1:7" ht="63" outlineLevel="1" x14ac:dyDescent="0.2">
      <c r="A75" s="66">
        <f t="shared" si="1"/>
        <v>26</v>
      </c>
      <c r="B75" s="47" t="s">
        <v>214</v>
      </c>
      <c r="C75" s="2" t="s">
        <v>312</v>
      </c>
      <c r="D75" s="66" t="s">
        <v>12</v>
      </c>
      <c r="E75" s="16">
        <v>950</v>
      </c>
      <c r="F75" s="16">
        <f t="shared" si="0"/>
        <v>760</v>
      </c>
      <c r="G75" s="2" t="s">
        <v>216</v>
      </c>
    </row>
    <row r="76" spans="1:7" ht="31.5" outlineLevel="1" x14ac:dyDescent="0.25">
      <c r="A76" s="66">
        <f t="shared" si="1"/>
        <v>27</v>
      </c>
      <c r="B76" s="67" t="s">
        <v>323</v>
      </c>
      <c r="C76" s="40" t="s">
        <v>324</v>
      </c>
      <c r="D76" s="66" t="s">
        <v>12</v>
      </c>
      <c r="E76" s="16">
        <v>500</v>
      </c>
      <c r="F76" s="16">
        <f t="shared" si="0"/>
        <v>400</v>
      </c>
      <c r="G76" s="2" t="s">
        <v>313</v>
      </c>
    </row>
    <row r="77" spans="1:7" outlineLevel="1" x14ac:dyDescent="0.25">
      <c r="A77" s="66">
        <f t="shared" si="1"/>
        <v>28</v>
      </c>
      <c r="B77" s="47" t="s">
        <v>325</v>
      </c>
      <c r="C77" s="41" t="s">
        <v>326</v>
      </c>
      <c r="D77" s="66" t="s">
        <v>12</v>
      </c>
      <c r="E77" s="16">
        <v>200</v>
      </c>
      <c r="F77" s="16">
        <f t="shared" si="0"/>
        <v>160</v>
      </c>
      <c r="G77" s="2"/>
    </row>
    <row r="78" spans="1:7" ht="31.5" outlineLevel="1" x14ac:dyDescent="0.2">
      <c r="A78" s="66">
        <f t="shared" si="1"/>
        <v>29</v>
      </c>
      <c r="B78" s="47" t="s">
        <v>419</v>
      </c>
      <c r="C78" s="43" t="s">
        <v>418</v>
      </c>
      <c r="D78" s="66" t="s">
        <v>12</v>
      </c>
      <c r="E78" s="16">
        <v>1200</v>
      </c>
      <c r="F78" s="16">
        <f t="shared" si="0"/>
        <v>960</v>
      </c>
      <c r="G78" s="2" t="s">
        <v>314</v>
      </c>
    </row>
    <row r="79" spans="1:7" ht="23.25" outlineLevel="1" x14ac:dyDescent="0.2">
      <c r="A79" s="314" t="s">
        <v>73</v>
      </c>
      <c r="B79" s="315"/>
      <c r="C79" s="315"/>
      <c r="D79" s="315"/>
      <c r="E79" s="315"/>
      <c r="F79" s="315"/>
      <c r="G79" s="340"/>
    </row>
    <row r="80" spans="1:7" ht="47.25" outlineLevel="1" x14ac:dyDescent="0.2">
      <c r="A80" s="3">
        <v>1</v>
      </c>
      <c r="B80" s="69" t="s">
        <v>262</v>
      </c>
      <c r="C80" s="2" t="s">
        <v>315</v>
      </c>
      <c r="D80" s="3" t="s">
        <v>22</v>
      </c>
      <c r="E80" s="17">
        <v>1600</v>
      </c>
      <c r="F80" s="17">
        <f t="shared" si="0"/>
        <v>1280</v>
      </c>
      <c r="G80" s="2" t="s">
        <v>316</v>
      </c>
    </row>
    <row r="81" spans="1:7" ht="63" customHeight="1" outlineLevel="1" x14ac:dyDescent="0.2">
      <c r="A81" s="3">
        <v>2</v>
      </c>
      <c r="B81" s="69" t="s">
        <v>264</v>
      </c>
      <c r="C81" s="2" t="s">
        <v>318</v>
      </c>
      <c r="D81" s="3" t="s">
        <v>23</v>
      </c>
      <c r="E81" s="17">
        <v>350</v>
      </c>
      <c r="F81" s="17">
        <f t="shared" ref="F81:F87" si="2">ROUND(E81*0.8,-1)</f>
        <v>280</v>
      </c>
      <c r="G81" s="2" t="s">
        <v>263</v>
      </c>
    </row>
    <row r="82" spans="1:7" ht="31.5" outlineLevel="1" x14ac:dyDescent="0.2">
      <c r="A82" s="3">
        <v>3</v>
      </c>
      <c r="B82" s="69" t="s">
        <v>266</v>
      </c>
      <c r="C82" s="2" t="s">
        <v>317</v>
      </c>
      <c r="D82" s="3" t="s">
        <v>23</v>
      </c>
      <c r="E82" s="17">
        <v>350</v>
      </c>
      <c r="F82" s="17">
        <f t="shared" si="2"/>
        <v>280</v>
      </c>
      <c r="G82" s="2" t="s">
        <v>265</v>
      </c>
    </row>
    <row r="83" spans="1:7" ht="31.5" outlineLevel="1" x14ac:dyDescent="0.2">
      <c r="A83" s="3">
        <v>4</v>
      </c>
      <c r="B83" s="69" t="s">
        <v>267</v>
      </c>
      <c r="C83" s="2" t="s">
        <v>268</v>
      </c>
      <c r="D83" s="3" t="s">
        <v>24</v>
      </c>
      <c r="E83" s="17">
        <v>350</v>
      </c>
      <c r="F83" s="17">
        <f t="shared" si="2"/>
        <v>280</v>
      </c>
      <c r="G83" s="2" t="s">
        <v>268</v>
      </c>
    </row>
    <row r="84" spans="1:7" ht="47.25" outlineLevel="1" x14ac:dyDescent="0.2">
      <c r="A84" s="3">
        <v>5</v>
      </c>
      <c r="B84" s="69" t="s">
        <v>269</v>
      </c>
      <c r="C84" s="2" t="s">
        <v>319</v>
      </c>
      <c r="D84" s="3" t="s">
        <v>25</v>
      </c>
      <c r="E84" s="17">
        <v>700</v>
      </c>
      <c r="F84" s="17">
        <f t="shared" si="2"/>
        <v>560</v>
      </c>
      <c r="G84" s="2" t="s">
        <v>270</v>
      </c>
    </row>
    <row r="85" spans="1:7" outlineLevel="1" x14ac:dyDescent="0.25">
      <c r="A85" s="3">
        <v>6</v>
      </c>
      <c r="B85" s="69" t="s">
        <v>321</v>
      </c>
      <c r="C85" s="39" t="s">
        <v>320</v>
      </c>
      <c r="D85" s="3" t="s">
        <v>12</v>
      </c>
      <c r="E85" s="17">
        <v>200</v>
      </c>
      <c r="F85" s="17">
        <f t="shared" si="2"/>
        <v>160</v>
      </c>
      <c r="G85" s="2" t="s">
        <v>26</v>
      </c>
    </row>
    <row r="86" spans="1:7" outlineLevel="1" x14ac:dyDescent="0.25">
      <c r="A86" s="3">
        <v>7</v>
      </c>
      <c r="B86" s="69" t="s">
        <v>322</v>
      </c>
      <c r="C86" s="39" t="s">
        <v>320</v>
      </c>
      <c r="D86" s="3" t="s">
        <v>12</v>
      </c>
      <c r="E86" s="17">
        <v>120</v>
      </c>
      <c r="F86" s="17">
        <f t="shared" si="2"/>
        <v>100</v>
      </c>
      <c r="G86" s="2" t="s">
        <v>72</v>
      </c>
    </row>
    <row r="87" spans="1:7" outlineLevel="1" x14ac:dyDescent="0.2">
      <c r="A87" s="3">
        <v>8</v>
      </c>
      <c r="B87" s="69" t="s">
        <v>272</v>
      </c>
      <c r="C87" s="2" t="s">
        <v>271</v>
      </c>
      <c r="D87" s="3" t="s">
        <v>71</v>
      </c>
      <c r="E87" s="17">
        <v>440</v>
      </c>
      <c r="F87" s="17">
        <f t="shared" si="2"/>
        <v>350</v>
      </c>
      <c r="G87" s="2" t="s">
        <v>271</v>
      </c>
    </row>
    <row r="88" spans="1:7" ht="23.25" outlineLevel="1" x14ac:dyDescent="0.2">
      <c r="A88" s="346" t="s">
        <v>74</v>
      </c>
      <c r="B88" s="347"/>
      <c r="C88" s="347"/>
      <c r="D88" s="347"/>
      <c r="E88" s="347"/>
      <c r="F88" s="347"/>
      <c r="G88" s="348"/>
    </row>
    <row r="89" spans="1:7" ht="47.25" outlineLevel="1" x14ac:dyDescent="0.2">
      <c r="A89" s="321">
        <v>1</v>
      </c>
      <c r="B89" s="337" t="s">
        <v>217</v>
      </c>
      <c r="C89" s="311" t="s">
        <v>327</v>
      </c>
      <c r="D89" s="66" t="s">
        <v>12</v>
      </c>
      <c r="E89" s="16">
        <v>350</v>
      </c>
      <c r="F89" s="16">
        <f>ROUND(E89*0.8,-1)</f>
        <v>280</v>
      </c>
      <c r="G89" s="2" t="s">
        <v>27</v>
      </c>
    </row>
    <row r="90" spans="1:7" ht="63" outlineLevel="1" x14ac:dyDescent="0.2">
      <c r="A90" s="321"/>
      <c r="B90" s="342"/>
      <c r="C90" s="312"/>
      <c r="D90" s="66" t="s">
        <v>29</v>
      </c>
      <c r="E90" s="16">
        <v>3000</v>
      </c>
      <c r="F90" s="16">
        <f>ROUND(E90*0.8,-1)</f>
        <v>2400</v>
      </c>
      <c r="G90" s="2" t="s">
        <v>28</v>
      </c>
    </row>
    <row r="91" spans="1:7" ht="31.5" outlineLevel="1" x14ac:dyDescent="0.2">
      <c r="A91" s="309">
        <v>2</v>
      </c>
      <c r="B91" s="342"/>
      <c r="C91" s="312"/>
      <c r="D91" s="66" t="s">
        <v>12</v>
      </c>
      <c r="E91" s="16">
        <v>250</v>
      </c>
      <c r="F91" s="16">
        <f>ROUND(E91*0.8,-1)</f>
        <v>200</v>
      </c>
      <c r="G91" s="2" t="s">
        <v>30</v>
      </c>
    </row>
    <row r="92" spans="1:7" ht="47.25" outlineLevel="1" x14ac:dyDescent="0.2">
      <c r="A92" s="309"/>
      <c r="B92" s="338"/>
      <c r="C92" s="313"/>
      <c r="D92" s="66" t="s">
        <v>29</v>
      </c>
      <c r="E92" s="16">
        <v>2000</v>
      </c>
      <c r="F92" s="16">
        <f>ROUND(E92*0.8,-1)</f>
        <v>1600</v>
      </c>
      <c r="G92" s="2" t="s">
        <v>31</v>
      </c>
    </row>
    <row r="93" spans="1:7" ht="23.25" outlineLevel="1" x14ac:dyDescent="0.2">
      <c r="A93" s="346" t="s">
        <v>77</v>
      </c>
      <c r="B93" s="347"/>
      <c r="C93" s="347"/>
      <c r="D93" s="347"/>
      <c r="E93" s="347"/>
      <c r="F93" s="347"/>
      <c r="G93" s="348"/>
    </row>
    <row r="94" spans="1:7" ht="18" customHeight="1" outlineLevel="1" x14ac:dyDescent="0.2">
      <c r="A94" s="321">
        <v>1</v>
      </c>
      <c r="B94" s="337" t="s">
        <v>218</v>
      </c>
      <c r="C94" s="349" t="s">
        <v>332</v>
      </c>
      <c r="D94" s="349"/>
      <c r="E94" s="349"/>
      <c r="F94" s="69"/>
      <c r="G94" s="69" t="s">
        <v>332</v>
      </c>
    </row>
    <row r="95" spans="1:7" ht="23.25" customHeight="1" outlineLevel="1" x14ac:dyDescent="0.2">
      <c r="A95" s="321"/>
      <c r="B95" s="342"/>
      <c r="C95" s="2" t="s">
        <v>75</v>
      </c>
      <c r="D95" s="66" t="s">
        <v>33</v>
      </c>
      <c r="E95" s="71">
        <v>200</v>
      </c>
      <c r="F95" s="71">
        <f t="shared" ref="F95:F120" si="3">ROUND(E95*0.8,-1)</f>
        <v>160</v>
      </c>
      <c r="G95" s="2" t="s">
        <v>75</v>
      </c>
    </row>
    <row r="96" spans="1:7" ht="38.25" customHeight="1" outlineLevel="1" x14ac:dyDescent="0.2">
      <c r="A96" s="321"/>
      <c r="B96" s="342"/>
      <c r="C96" s="2" t="s">
        <v>85</v>
      </c>
      <c r="D96" s="66" t="s">
        <v>33</v>
      </c>
      <c r="E96" s="71">
        <v>240</v>
      </c>
      <c r="F96" s="71">
        <f t="shared" si="3"/>
        <v>190</v>
      </c>
      <c r="G96" s="2" t="s">
        <v>85</v>
      </c>
    </row>
    <row r="97" spans="1:19" ht="32.25" customHeight="1" outlineLevel="1" x14ac:dyDescent="0.2">
      <c r="A97" s="321"/>
      <c r="B97" s="342"/>
      <c r="C97" s="2" t="s">
        <v>76</v>
      </c>
      <c r="D97" s="66" t="s">
        <v>33</v>
      </c>
      <c r="E97" s="71">
        <v>270</v>
      </c>
      <c r="F97" s="71">
        <f t="shared" si="3"/>
        <v>220</v>
      </c>
      <c r="G97" s="2" t="s">
        <v>76</v>
      </c>
    </row>
    <row r="98" spans="1:19" ht="31.5" outlineLevel="1" x14ac:dyDescent="0.2">
      <c r="A98" s="321"/>
      <c r="B98" s="338"/>
      <c r="C98" s="2" t="s">
        <v>407</v>
      </c>
      <c r="D98" s="66" t="s">
        <v>33</v>
      </c>
      <c r="E98" s="71">
        <v>270</v>
      </c>
      <c r="F98" s="71">
        <f t="shared" si="3"/>
        <v>220</v>
      </c>
      <c r="G98" s="2" t="s">
        <v>407</v>
      </c>
    </row>
    <row r="99" spans="1:19" ht="18" customHeight="1" outlineLevel="1" x14ac:dyDescent="0.2">
      <c r="A99" s="321">
        <v>2</v>
      </c>
      <c r="B99" s="337" t="s">
        <v>218</v>
      </c>
      <c r="C99" s="2" t="s">
        <v>333</v>
      </c>
      <c r="D99" s="2"/>
      <c r="E99" s="58"/>
      <c r="F99" s="58"/>
      <c r="G99" s="2" t="s">
        <v>34</v>
      </c>
    </row>
    <row r="100" spans="1:19" ht="24" customHeight="1" outlineLevel="1" x14ac:dyDescent="0.2">
      <c r="A100" s="321"/>
      <c r="B100" s="342"/>
      <c r="C100" s="2" t="s">
        <v>75</v>
      </c>
      <c r="D100" s="66" t="s">
        <v>33</v>
      </c>
      <c r="E100" s="71">
        <v>220</v>
      </c>
      <c r="F100" s="71">
        <f t="shared" si="3"/>
        <v>180</v>
      </c>
      <c r="G100" s="2" t="s">
        <v>75</v>
      </c>
    </row>
    <row r="101" spans="1:19" ht="33" customHeight="1" outlineLevel="1" x14ac:dyDescent="0.2">
      <c r="A101" s="321"/>
      <c r="B101" s="342"/>
      <c r="C101" s="2" t="s">
        <v>85</v>
      </c>
      <c r="D101" s="66" t="s">
        <v>33</v>
      </c>
      <c r="E101" s="71">
        <v>270</v>
      </c>
      <c r="F101" s="71">
        <f t="shared" si="3"/>
        <v>220</v>
      </c>
      <c r="G101" s="2" t="s">
        <v>85</v>
      </c>
    </row>
    <row r="102" spans="1:19" ht="37.5" customHeight="1" outlineLevel="1" x14ac:dyDescent="0.2">
      <c r="A102" s="321"/>
      <c r="B102" s="342"/>
      <c r="C102" s="2" t="s">
        <v>76</v>
      </c>
      <c r="D102" s="66" t="s">
        <v>33</v>
      </c>
      <c r="E102" s="71">
        <v>300</v>
      </c>
      <c r="F102" s="71">
        <f t="shared" si="3"/>
        <v>240</v>
      </c>
      <c r="G102" s="2" t="s">
        <v>76</v>
      </c>
    </row>
    <row r="103" spans="1:19" ht="38.25" customHeight="1" outlineLevel="1" x14ac:dyDescent="0.2">
      <c r="A103" s="321"/>
      <c r="B103" s="338"/>
      <c r="C103" s="2" t="s">
        <v>407</v>
      </c>
      <c r="D103" s="66" t="s">
        <v>33</v>
      </c>
      <c r="E103" s="71">
        <v>300</v>
      </c>
      <c r="F103" s="71">
        <f t="shared" si="3"/>
        <v>240</v>
      </c>
      <c r="G103" s="2" t="s">
        <v>407</v>
      </c>
    </row>
    <row r="104" spans="1:19" outlineLevel="1" x14ac:dyDescent="0.2">
      <c r="A104" s="321">
        <v>3</v>
      </c>
      <c r="B104" s="279" t="s">
        <v>402</v>
      </c>
      <c r="C104" s="281"/>
      <c r="D104" s="335" t="s">
        <v>88</v>
      </c>
      <c r="E104" s="350">
        <v>300</v>
      </c>
      <c r="F104" s="368">
        <f t="shared" si="3"/>
        <v>240</v>
      </c>
      <c r="G104" s="335"/>
    </row>
    <row r="105" spans="1:19" outlineLevel="1" x14ac:dyDescent="0.2">
      <c r="A105" s="321"/>
      <c r="B105" s="56" t="s">
        <v>400</v>
      </c>
      <c r="C105" s="22" t="s">
        <v>401</v>
      </c>
      <c r="D105" s="335"/>
      <c r="E105" s="350"/>
      <c r="F105" s="369">
        <f t="shared" si="3"/>
        <v>0</v>
      </c>
      <c r="G105" s="335"/>
    </row>
    <row r="106" spans="1:19" ht="31.5" outlineLevel="1" x14ac:dyDescent="0.2">
      <c r="A106" s="321"/>
      <c r="B106" s="5" t="s">
        <v>396</v>
      </c>
      <c r="C106" s="5" t="s">
        <v>397</v>
      </c>
      <c r="D106" s="335"/>
      <c r="E106" s="350"/>
      <c r="F106" s="369">
        <f t="shared" si="3"/>
        <v>0</v>
      </c>
      <c r="G106" s="335"/>
    </row>
    <row r="107" spans="1:19" outlineLevel="1" x14ac:dyDescent="0.2">
      <c r="A107" s="321"/>
      <c r="B107" s="5" t="s">
        <v>398</v>
      </c>
      <c r="C107" s="5" t="s">
        <v>399</v>
      </c>
      <c r="D107" s="335"/>
      <c r="E107" s="350"/>
      <c r="F107" s="370">
        <f t="shared" si="3"/>
        <v>0</v>
      </c>
      <c r="G107" s="335"/>
    </row>
    <row r="108" spans="1:19" ht="24.75" customHeight="1" outlineLevel="1" x14ac:dyDescent="0.2">
      <c r="A108" s="66">
        <v>6</v>
      </c>
      <c r="B108" s="48"/>
      <c r="C108" s="4" t="s">
        <v>35</v>
      </c>
      <c r="D108" s="3" t="s">
        <v>36</v>
      </c>
      <c r="E108" s="16">
        <v>500</v>
      </c>
      <c r="F108" s="72">
        <f>ROUND(E108*0.8,-1)</f>
        <v>400</v>
      </c>
      <c r="G108" s="4" t="s">
        <v>35</v>
      </c>
      <c r="S108" s="1">
        <v>340</v>
      </c>
    </row>
    <row r="109" spans="1:19" ht="31.5" outlineLevel="1" x14ac:dyDescent="0.2">
      <c r="A109" s="66">
        <v>7</v>
      </c>
      <c r="B109" s="48" t="s">
        <v>174</v>
      </c>
      <c r="C109" s="25" t="s">
        <v>178</v>
      </c>
      <c r="D109" s="66" t="s">
        <v>12</v>
      </c>
      <c r="E109" s="18">
        <v>200</v>
      </c>
      <c r="F109" s="73">
        <f t="shared" si="3"/>
        <v>160</v>
      </c>
      <c r="G109" s="25" t="s">
        <v>178</v>
      </c>
    </row>
    <row r="110" spans="1:19" outlineLevel="1" x14ac:dyDescent="0.2">
      <c r="A110" s="66">
        <v>8</v>
      </c>
      <c r="B110" s="48" t="s">
        <v>175</v>
      </c>
      <c r="C110" s="25" t="s">
        <v>179</v>
      </c>
      <c r="D110" s="66"/>
      <c r="E110" s="18"/>
      <c r="F110" s="73"/>
      <c r="G110" s="25" t="s">
        <v>179</v>
      </c>
    </row>
    <row r="111" spans="1:19" ht="31.5" outlineLevel="1" x14ac:dyDescent="0.2">
      <c r="A111" s="66">
        <v>9</v>
      </c>
      <c r="B111" s="48" t="s">
        <v>177</v>
      </c>
      <c r="C111" s="24" t="s">
        <v>180</v>
      </c>
      <c r="D111" s="66" t="s">
        <v>12</v>
      </c>
      <c r="E111" s="18">
        <v>300</v>
      </c>
      <c r="F111" s="73">
        <f t="shared" si="3"/>
        <v>240</v>
      </c>
      <c r="G111" s="24" t="s">
        <v>180</v>
      </c>
    </row>
    <row r="112" spans="1:19" outlineLevel="1" x14ac:dyDescent="0.2">
      <c r="A112" s="66">
        <v>10</v>
      </c>
      <c r="B112" s="48" t="s">
        <v>173</v>
      </c>
      <c r="C112" s="4" t="s">
        <v>181</v>
      </c>
      <c r="D112" s="66" t="s">
        <v>12</v>
      </c>
      <c r="E112" s="18">
        <v>290</v>
      </c>
      <c r="F112" s="73">
        <f t="shared" si="3"/>
        <v>230</v>
      </c>
      <c r="G112" s="4" t="s">
        <v>181</v>
      </c>
    </row>
    <row r="113" spans="1:7" ht="24" customHeight="1" outlineLevel="1" x14ac:dyDescent="0.25">
      <c r="A113" s="66">
        <v>11</v>
      </c>
      <c r="B113" s="42" t="s">
        <v>173</v>
      </c>
      <c r="C113" s="4" t="s">
        <v>111</v>
      </c>
      <c r="D113" s="66" t="s">
        <v>12</v>
      </c>
      <c r="E113" s="18">
        <v>350</v>
      </c>
      <c r="F113" s="73">
        <f t="shared" si="3"/>
        <v>280</v>
      </c>
      <c r="G113" s="4" t="s">
        <v>111</v>
      </c>
    </row>
    <row r="114" spans="1:7" ht="31.5" outlineLevel="1" x14ac:dyDescent="0.2">
      <c r="A114" s="66">
        <v>12</v>
      </c>
      <c r="B114" s="48" t="s">
        <v>174</v>
      </c>
      <c r="C114" s="24" t="s">
        <v>183</v>
      </c>
      <c r="D114" s="66" t="s">
        <v>12</v>
      </c>
      <c r="E114" s="18">
        <v>380</v>
      </c>
      <c r="F114" s="73">
        <f t="shared" si="3"/>
        <v>300</v>
      </c>
      <c r="G114" s="24" t="s">
        <v>183</v>
      </c>
    </row>
    <row r="115" spans="1:7" ht="40.5" customHeight="1" outlineLevel="1" x14ac:dyDescent="0.2">
      <c r="A115" s="66">
        <v>13</v>
      </c>
      <c r="B115" s="48" t="s">
        <v>174</v>
      </c>
      <c r="C115" s="24" t="s">
        <v>184</v>
      </c>
      <c r="D115" s="66" t="s">
        <v>12</v>
      </c>
      <c r="E115" s="18">
        <v>430</v>
      </c>
      <c r="F115" s="73">
        <f t="shared" si="3"/>
        <v>340</v>
      </c>
      <c r="G115" s="24" t="s">
        <v>184</v>
      </c>
    </row>
    <row r="116" spans="1:7" ht="31.5" outlineLevel="1" x14ac:dyDescent="0.2">
      <c r="A116" s="66">
        <v>14</v>
      </c>
      <c r="B116" s="48" t="s">
        <v>174</v>
      </c>
      <c r="C116" s="24" t="s">
        <v>185</v>
      </c>
      <c r="D116" s="66" t="s">
        <v>12</v>
      </c>
      <c r="E116" s="18">
        <v>300</v>
      </c>
      <c r="F116" s="73">
        <f t="shared" si="3"/>
        <v>240</v>
      </c>
      <c r="G116" s="24" t="s">
        <v>185</v>
      </c>
    </row>
    <row r="117" spans="1:7" ht="39" customHeight="1" outlineLevel="1" x14ac:dyDescent="0.2">
      <c r="A117" s="66">
        <v>15</v>
      </c>
      <c r="B117" s="48" t="s">
        <v>174</v>
      </c>
      <c r="C117" s="4" t="s">
        <v>176</v>
      </c>
      <c r="D117" s="66" t="s">
        <v>12</v>
      </c>
      <c r="E117" s="18">
        <v>350</v>
      </c>
      <c r="F117" s="73">
        <f t="shared" si="3"/>
        <v>280</v>
      </c>
      <c r="G117" s="4" t="s">
        <v>176</v>
      </c>
    </row>
    <row r="118" spans="1:7" outlineLevel="1" x14ac:dyDescent="0.2">
      <c r="A118" s="66">
        <v>16</v>
      </c>
      <c r="B118" s="48" t="s">
        <v>190</v>
      </c>
      <c r="C118" s="4" t="s">
        <v>189</v>
      </c>
      <c r="D118" s="66" t="s">
        <v>12</v>
      </c>
      <c r="E118" s="18">
        <v>180</v>
      </c>
      <c r="F118" s="73">
        <f t="shared" si="3"/>
        <v>140</v>
      </c>
      <c r="G118" s="4" t="s">
        <v>189</v>
      </c>
    </row>
    <row r="119" spans="1:7" outlineLevel="1" x14ac:dyDescent="0.2">
      <c r="A119" s="66">
        <v>17</v>
      </c>
      <c r="B119" s="48" t="s">
        <v>188</v>
      </c>
      <c r="C119" s="4" t="s">
        <v>187</v>
      </c>
      <c r="D119" s="66" t="s">
        <v>12</v>
      </c>
      <c r="E119" s="18">
        <v>550</v>
      </c>
      <c r="F119" s="73">
        <f t="shared" si="3"/>
        <v>440</v>
      </c>
      <c r="G119" s="4" t="s">
        <v>187</v>
      </c>
    </row>
    <row r="120" spans="1:7" outlineLevel="1" x14ac:dyDescent="0.2">
      <c r="A120" s="66">
        <v>18</v>
      </c>
      <c r="B120" s="48" t="s">
        <v>213</v>
      </c>
      <c r="C120" s="4" t="s">
        <v>182</v>
      </c>
      <c r="D120" s="66" t="s">
        <v>12</v>
      </c>
      <c r="E120" s="18">
        <v>350</v>
      </c>
      <c r="F120" s="73">
        <f t="shared" si="3"/>
        <v>280</v>
      </c>
      <c r="G120" s="4" t="s">
        <v>182</v>
      </c>
    </row>
    <row r="121" spans="1:7" ht="23.25" outlineLevel="1" x14ac:dyDescent="0.2">
      <c r="A121" s="346" t="s">
        <v>334</v>
      </c>
      <c r="B121" s="347"/>
      <c r="C121" s="347"/>
      <c r="D121" s="347"/>
      <c r="E121" s="347"/>
      <c r="F121" s="347"/>
      <c r="G121" s="348"/>
    </row>
    <row r="122" spans="1:7" ht="25.5" customHeight="1" outlineLevel="1" x14ac:dyDescent="0.2">
      <c r="A122" s="321">
        <v>1</v>
      </c>
      <c r="B122" s="337" t="s">
        <v>219</v>
      </c>
      <c r="C122" s="349" t="s">
        <v>328</v>
      </c>
      <c r="D122" s="349"/>
      <c r="E122" s="349"/>
      <c r="F122" s="69"/>
      <c r="G122" s="69" t="s">
        <v>330</v>
      </c>
    </row>
    <row r="123" spans="1:7" ht="17.25" customHeight="1" outlineLevel="1" x14ac:dyDescent="0.2">
      <c r="A123" s="321"/>
      <c r="B123" s="342"/>
      <c r="C123" s="2" t="s">
        <v>104</v>
      </c>
      <c r="D123" s="66" t="s">
        <v>33</v>
      </c>
      <c r="E123" s="71">
        <v>300</v>
      </c>
      <c r="F123" s="71">
        <f>ROUND(E123*0.8,-1)</f>
        <v>240</v>
      </c>
      <c r="G123" s="2" t="s">
        <v>104</v>
      </c>
    </row>
    <row r="124" spans="1:7" ht="17.25" customHeight="1" outlineLevel="1" x14ac:dyDescent="0.2">
      <c r="A124" s="321"/>
      <c r="B124" s="342"/>
      <c r="C124" s="2" t="s">
        <v>103</v>
      </c>
      <c r="D124" s="66" t="s">
        <v>33</v>
      </c>
      <c r="E124" s="71">
        <v>350</v>
      </c>
      <c r="F124" s="71">
        <f>ROUND(E124*0.8,-1)</f>
        <v>280</v>
      </c>
      <c r="G124" s="2" t="s">
        <v>103</v>
      </c>
    </row>
    <row r="125" spans="1:7" ht="17.25" customHeight="1" outlineLevel="1" x14ac:dyDescent="0.2">
      <c r="A125" s="321"/>
      <c r="B125" s="338"/>
      <c r="C125" s="2" t="s">
        <v>37</v>
      </c>
      <c r="D125" s="66" t="s">
        <v>33</v>
      </c>
      <c r="E125" s="71">
        <f>E124</f>
        <v>350</v>
      </c>
      <c r="F125" s="71">
        <f>ROUND(E125*0.8,-1)</f>
        <v>280</v>
      </c>
      <c r="G125" s="2" t="s">
        <v>37</v>
      </c>
    </row>
    <row r="126" spans="1:7" ht="31.5" outlineLevel="1" x14ac:dyDescent="0.2">
      <c r="A126" s="321">
        <v>2</v>
      </c>
      <c r="B126" s="337" t="s">
        <v>219</v>
      </c>
      <c r="C126" s="2" t="s">
        <v>222</v>
      </c>
      <c r="D126" s="2"/>
      <c r="E126" s="58"/>
      <c r="F126" s="58"/>
      <c r="G126" s="2" t="s">
        <v>329</v>
      </c>
    </row>
    <row r="127" spans="1:7" ht="17.25" customHeight="1" outlineLevel="1" x14ac:dyDescent="0.2">
      <c r="A127" s="321"/>
      <c r="B127" s="342"/>
      <c r="C127" s="2" t="s">
        <v>104</v>
      </c>
      <c r="D127" s="66" t="s">
        <v>33</v>
      </c>
      <c r="E127" s="71">
        <v>350</v>
      </c>
      <c r="F127" s="71">
        <f>ROUND(E127*0.8,-1)</f>
        <v>280</v>
      </c>
      <c r="G127" s="2" t="s">
        <v>104</v>
      </c>
    </row>
    <row r="128" spans="1:7" ht="17.25" customHeight="1" outlineLevel="1" x14ac:dyDescent="0.2">
      <c r="A128" s="321"/>
      <c r="B128" s="342"/>
      <c r="C128" s="2" t="s">
        <v>103</v>
      </c>
      <c r="D128" s="66" t="s">
        <v>33</v>
      </c>
      <c r="E128" s="71">
        <v>400</v>
      </c>
      <c r="F128" s="71">
        <f>ROUND(E128*0.8,-1)</f>
        <v>320</v>
      </c>
      <c r="G128" s="2" t="s">
        <v>103</v>
      </c>
    </row>
    <row r="129" spans="1:7" ht="17.25" customHeight="1" outlineLevel="1" x14ac:dyDescent="0.2">
      <c r="A129" s="321"/>
      <c r="B129" s="338"/>
      <c r="C129" s="2" t="s">
        <v>37</v>
      </c>
      <c r="D129" s="66" t="s">
        <v>33</v>
      </c>
      <c r="E129" s="71">
        <f>E128</f>
        <v>400</v>
      </c>
      <c r="F129" s="71">
        <f>ROUND(E129*0.8,-1)</f>
        <v>320</v>
      </c>
      <c r="G129" s="2" t="s">
        <v>37</v>
      </c>
    </row>
    <row r="130" spans="1:7" ht="60.75" customHeight="1" outlineLevel="1" x14ac:dyDescent="0.2">
      <c r="A130" s="362" t="s">
        <v>331</v>
      </c>
      <c r="B130" s="363"/>
      <c r="C130" s="363"/>
      <c r="D130" s="363"/>
      <c r="E130" s="363"/>
      <c r="F130" s="363"/>
      <c r="G130" s="364"/>
    </row>
    <row r="131" spans="1:7" ht="23.25" outlineLevel="1" x14ac:dyDescent="0.2">
      <c r="A131" s="371" t="s">
        <v>78</v>
      </c>
      <c r="B131" s="371"/>
      <c r="C131" s="371"/>
      <c r="D131" s="371"/>
      <c r="E131" s="371"/>
      <c r="F131" s="371"/>
      <c r="G131" s="371"/>
    </row>
    <row r="132" spans="1:7" ht="32.25" customHeight="1" outlineLevel="1" x14ac:dyDescent="0.2">
      <c r="A132" s="66">
        <v>1</v>
      </c>
      <c r="B132" s="47" t="s">
        <v>223</v>
      </c>
      <c r="C132" s="2" t="s">
        <v>38</v>
      </c>
      <c r="D132" s="66" t="s">
        <v>39</v>
      </c>
      <c r="E132" s="16">
        <v>200</v>
      </c>
      <c r="F132" s="16">
        <f t="shared" ref="F132:F137" si="4">ROUND(E132*0.8,-1)</f>
        <v>160</v>
      </c>
      <c r="G132" s="2" t="s">
        <v>38</v>
      </c>
    </row>
    <row r="133" spans="1:7" outlineLevel="1" x14ac:dyDescent="0.2">
      <c r="A133" s="66">
        <v>2</v>
      </c>
      <c r="B133" s="47" t="s">
        <v>224</v>
      </c>
      <c r="C133" s="2" t="s">
        <v>320</v>
      </c>
      <c r="D133" s="66" t="s">
        <v>39</v>
      </c>
      <c r="E133" s="16">
        <v>250</v>
      </c>
      <c r="F133" s="16">
        <f t="shared" si="4"/>
        <v>200</v>
      </c>
      <c r="G133" s="2" t="s">
        <v>335</v>
      </c>
    </row>
    <row r="134" spans="1:7" ht="32.25" customHeight="1" outlineLevel="1" x14ac:dyDescent="0.2">
      <c r="A134" s="66">
        <v>3</v>
      </c>
      <c r="B134" s="47" t="s">
        <v>224</v>
      </c>
      <c r="C134" s="2" t="s">
        <v>40</v>
      </c>
      <c r="D134" s="66" t="s">
        <v>39</v>
      </c>
      <c r="E134" s="16">
        <v>200</v>
      </c>
      <c r="F134" s="16">
        <f t="shared" si="4"/>
        <v>160</v>
      </c>
      <c r="G134" s="2" t="s">
        <v>336</v>
      </c>
    </row>
    <row r="135" spans="1:7" ht="33.75" hidden="1" customHeight="1" outlineLevel="1" x14ac:dyDescent="0.2">
      <c r="A135" s="66">
        <v>4</v>
      </c>
      <c r="B135" s="5" t="s">
        <v>387</v>
      </c>
      <c r="C135" s="5" t="s">
        <v>388</v>
      </c>
      <c r="D135" s="52" t="s">
        <v>39</v>
      </c>
      <c r="E135" s="71">
        <v>2400</v>
      </c>
      <c r="F135" s="71">
        <f t="shared" si="4"/>
        <v>1920</v>
      </c>
      <c r="G135" s="22" t="s">
        <v>83</v>
      </c>
    </row>
    <row r="136" spans="1:7" ht="33.75" hidden="1" customHeight="1" outlineLevel="1" x14ac:dyDescent="0.2">
      <c r="A136" s="66">
        <v>5</v>
      </c>
      <c r="B136" s="5" t="s">
        <v>387</v>
      </c>
      <c r="C136" s="5" t="s">
        <v>388</v>
      </c>
      <c r="D136" s="52" t="s">
        <v>39</v>
      </c>
      <c r="E136" s="71">
        <v>2700</v>
      </c>
      <c r="F136" s="71">
        <f t="shared" si="4"/>
        <v>2160</v>
      </c>
      <c r="G136" s="22" t="s">
        <v>84</v>
      </c>
    </row>
    <row r="137" spans="1:7" ht="31.5" outlineLevel="1" x14ac:dyDescent="0.2">
      <c r="A137" s="66">
        <v>4</v>
      </c>
      <c r="B137" s="47" t="s">
        <v>338</v>
      </c>
      <c r="C137" s="2" t="s">
        <v>337</v>
      </c>
      <c r="D137" s="66" t="s">
        <v>113</v>
      </c>
      <c r="E137" s="16">
        <v>150</v>
      </c>
      <c r="F137" s="16">
        <f t="shared" si="4"/>
        <v>120</v>
      </c>
      <c r="G137" s="2" t="s">
        <v>112</v>
      </c>
    </row>
    <row r="138" spans="1:7" ht="23.25" outlineLevel="1" x14ac:dyDescent="0.2">
      <c r="A138" s="346" t="s">
        <v>79</v>
      </c>
      <c r="B138" s="347"/>
      <c r="C138" s="347"/>
      <c r="D138" s="347"/>
      <c r="E138" s="347"/>
      <c r="F138" s="347"/>
      <c r="G138" s="348"/>
    </row>
    <row r="139" spans="1:7" ht="31.5" outlineLevel="1" x14ac:dyDescent="0.2">
      <c r="A139" s="66">
        <v>1</v>
      </c>
      <c r="B139" s="47" t="s">
        <v>403</v>
      </c>
      <c r="C139" s="2" t="s">
        <v>404</v>
      </c>
      <c r="D139" s="66" t="s">
        <v>32</v>
      </c>
      <c r="E139" s="16">
        <v>350</v>
      </c>
      <c r="F139" s="16">
        <f t="shared" ref="F139:F144" si="5">ROUND(E139*0.8,-1)</f>
        <v>280</v>
      </c>
      <c r="G139" s="2" t="s">
        <v>41</v>
      </c>
    </row>
    <row r="140" spans="1:7" outlineLevel="1" x14ac:dyDescent="0.2">
      <c r="A140" s="66">
        <v>2</v>
      </c>
      <c r="B140" s="5" t="s">
        <v>405</v>
      </c>
      <c r="C140" s="5" t="s">
        <v>406</v>
      </c>
      <c r="D140" s="66" t="s">
        <v>32</v>
      </c>
      <c r="E140" s="16">
        <v>200</v>
      </c>
      <c r="F140" s="16">
        <f t="shared" si="5"/>
        <v>160</v>
      </c>
      <c r="G140" s="2" t="s">
        <v>42</v>
      </c>
    </row>
    <row r="141" spans="1:7" ht="18.75" customHeight="1" outlineLevel="1" x14ac:dyDescent="0.2">
      <c r="A141" s="66">
        <v>3</v>
      </c>
      <c r="B141" s="47" t="s">
        <v>225</v>
      </c>
      <c r="C141" s="2" t="s">
        <v>226</v>
      </c>
      <c r="D141" s="66" t="s">
        <v>32</v>
      </c>
      <c r="E141" s="16">
        <v>800</v>
      </c>
      <c r="F141" s="16">
        <f t="shared" si="5"/>
        <v>640</v>
      </c>
      <c r="G141" s="2" t="s">
        <v>226</v>
      </c>
    </row>
    <row r="142" spans="1:7" ht="16.5" customHeight="1" outlineLevel="1" x14ac:dyDescent="0.2">
      <c r="A142" s="66">
        <v>4</v>
      </c>
      <c r="B142" s="47" t="s">
        <v>227</v>
      </c>
      <c r="C142" s="2" t="s">
        <v>43</v>
      </c>
      <c r="D142" s="66" t="s">
        <v>32</v>
      </c>
      <c r="E142" s="16">
        <v>700</v>
      </c>
      <c r="F142" s="16">
        <f t="shared" si="5"/>
        <v>560</v>
      </c>
      <c r="G142" s="2" t="s">
        <v>43</v>
      </c>
    </row>
    <row r="143" spans="1:7" ht="17.25" customHeight="1" outlineLevel="1" x14ac:dyDescent="0.2">
      <c r="A143" s="66">
        <v>5</v>
      </c>
      <c r="B143" s="47" t="s">
        <v>228</v>
      </c>
      <c r="C143" s="2" t="s">
        <v>229</v>
      </c>
      <c r="D143" s="66" t="s">
        <v>32</v>
      </c>
      <c r="E143" s="16">
        <v>1000</v>
      </c>
      <c r="F143" s="16">
        <f t="shared" si="5"/>
        <v>800</v>
      </c>
      <c r="G143" s="2" t="s">
        <v>229</v>
      </c>
    </row>
    <row r="144" spans="1:7" ht="32.25" customHeight="1" outlineLevel="1" x14ac:dyDescent="0.2">
      <c r="A144" s="66">
        <v>6</v>
      </c>
      <c r="B144" s="47" t="s">
        <v>230</v>
      </c>
      <c r="C144" s="2" t="s">
        <v>339</v>
      </c>
      <c r="D144" s="66" t="s">
        <v>32</v>
      </c>
      <c r="E144" s="16">
        <v>1500</v>
      </c>
      <c r="F144" s="16">
        <f t="shared" si="5"/>
        <v>1200</v>
      </c>
      <c r="G144" s="2" t="s">
        <v>44</v>
      </c>
    </row>
    <row r="145" spans="1:7" ht="23.25" outlineLevel="1" x14ac:dyDescent="0.2">
      <c r="A145" s="346" t="s">
        <v>80</v>
      </c>
      <c r="B145" s="347"/>
      <c r="C145" s="347"/>
      <c r="D145" s="347"/>
      <c r="E145" s="347"/>
      <c r="F145" s="347"/>
      <c r="G145" s="348"/>
    </row>
    <row r="146" spans="1:7" ht="31.5" outlineLevel="1" x14ac:dyDescent="0.2">
      <c r="A146" s="66" t="s">
        <v>17</v>
      </c>
      <c r="B146" s="47" t="s">
        <v>231</v>
      </c>
      <c r="C146" s="2" t="s">
        <v>245</v>
      </c>
      <c r="D146" s="66" t="s">
        <v>32</v>
      </c>
      <c r="E146" s="16">
        <v>800</v>
      </c>
      <c r="F146" s="16">
        <f t="shared" ref="F146:F164" si="6">ROUND(E146*0.8,-1)</f>
        <v>640</v>
      </c>
      <c r="G146" s="2" t="s">
        <v>245</v>
      </c>
    </row>
    <row r="147" spans="1:7" ht="16.5" customHeight="1" outlineLevel="1" x14ac:dyDescent="0.25">
      <c r="A147" s="66" t="s">
        <v>18</v>
      </c>
      <c r="B147" s="47" t="s">
        <v>232</v>
      </c>
      <c r="C147" s="39" t="s">
        <v>243</v>
      </c>
      <c r="D147" s="66" t="s">
        <v>32</v>
      </c>
      <c r="E147" s="16">
        <v>900</v>
      </c>
      <c r="F147" s="16">
        <f t="shared" si="6"/>
        <v>720</v>
      </c>
      <c r="G147" s="39" t="s">
        <v>243</v>
      </c>
    </row>
    <row r="148" spans="1:7" ht="17.25" customHeight="1" outlineLevel="1" x14ac:dyDescent="0.2">
      <c r="A148" s="66" t="s">
        <v>19</v>
      </c>
      <c r="B148" s="47" t="s">
        <v>233</v>
      </c>
      <c r="C148" s="2" t="s">
        <v>242</v>
      </c>
      <c r="D148" s="66" t="s">
        <v>32</v>
      </c>
      <c r="E148" s="16">
        <v>700</v>
      </c>
      <c r="F148" s="16">
        <f t="shared" si="6"/>
        <v>560</v>
      </c>
      <c r="G148" s="2" t="s">
        <v>242</v>
      </c>
    </row>
    <row r="149" spans="1:7" ht="31.5" outlineLevel="1" x14ac:dyDescent="0.2">
      <c r="A149" s="66" t="s">
        <v>20</v>
      </c>
      <c r="B149" s="47" t="s">
        <v>240</v>
      </c>
      <c r="C149" s="2" t="s">
        <v>241</v>
      </c>
      <c r="D149" s="66" t="s">
        <v>32</v>
      </c>
      <c r="E149" s="16">
        <v>1000</v>
      </c>
      <c r="F149" s="16">
        <f t="shared" si="6"/>
        <v>800</v>
      </c>
      <c r="G149" s="2" t="s">
        <v>241</v>
      </c>
    </row>
    <row r="150" spans="1:7" ht="31.5" outlineLevel="1" x14ac:dyDescent="0.2">
      <c r="A150" s="66" t="s">
        <v>21</v>
      </c>
      <c r="B150" s="47" t="s">
        <v>341</v>
      </c>
      <c r="C150" s="2" t="s">
        <v>340</v>
      </c>
      <c r="D150" s="66" t="s">
        <v>32</v>
      </c>
      <c r="E150" s="16">
        <v>1000</v>
      </c>
      <c r="F150" s="16">
        <f t="shared" si="6"/>
        <v>800</v>
      </c>
      <c r="G150" s="2" t="s">
        <v>89</v>
      </c>
    </row>
    <row r="151" spans="1:7" ht="30.75" customHeight="1" outlineLevel="1" x14ac:dyDescent="0.2">
      <c r="A151" s="66" t="s">
        <v>91</v>
      </c>
      <c r="B151" s="47" t="s">
        <v>239</v>
      </c>
      <c r="C151" s="2" t="s">
        <v>342</v>
      </c>
      <c r="D151" s="66" t="s">
        <v>32</v>
      </c>
      <c r="E151" s="16">
        <v>1200</v>
      </c>
      <c r="F151" s="16">
        <f t="shared" si="6"/>
        <v>960</v>
      </c>
      <c r="G151" s="2" t="s">
        <v>343</v>
      </c>
    </row>
    <row r="152" spans="1:7" ht="18" customHeight="1" outlineLevel="1" x14ac:dyDescent="0.2">
      <c r="A152" s="66" t="s">
        <v>92</v>
      </c>
      <c r="B152" s="47" t="s">
        <v>234</v>
      </c>
      <c r="C152" s="2" t="s">
        <v>45</v>
      </c>
      <c r="D152" s="66" t="s">
        <v>32</v>
      </c>
      <c r="E152" s="16">
        <v>800</v>
      </c>
      <c r="F152" s="16">
        <f t="shared" si="6"/>
        <v>640</v>
      </c>
      <c r="G152" s="2" t="s">
        <v>45</v>
      </c>
    </row>
    <row r="153" spans="1:7" ht="18" customHeight="1" outlineLevel="1" x14ac:dyDescent="0.2">
      <c r="A153" s="66" t="s">
        <v>93</v>
      </c>
      <c r="B153" s="47" t="s">
        <v>235</v>
      </c>
      <c r="C153" s="2" t="s">
        <v>46</v>
      </c>
      <c r="D153" s="66" t="s">
        <v>32</v>
      </c>
      <c r="E153" s="16">
        <v>800</v>
      </c>
      <c r="F153" s="16">
        <f t="shared" si="6"/>
        <v>640</v>
      </c>
      <c r="G153" s="2" t="s">
        <v>46</v>
      </c>
    </row>
    <row r="154" spans="1:7" ht="18" customHeight="1" outlineLevel="1" x14ac:dyDescent="0.2">
      <c r="A154" s="66" t="s">
        <v>94</v>
      </c>
      <c r="B154" s="47" t="s">
        <v>239</v>
      </c>
      <c r="C154" s="2" t="s">
        <v>47</v>
      </c>
      <c r="D154" s="66" t="s">
        <v>32</v>
      </c>
      <c r="E154" s="16">
        <v>1500</v>
      </c>
      <c r="F154" s="16">
        <f t="shared" si="6"/>
        <v>1200</v>
      </c>
      <c r="G154" s="2" t="s">
        <v>47</v>
      </c>
    </row>
    <row r="155" spans="1:7" ht="31.5" outlineLevel="1" x14ac:dyDescent="0.2">
      <c r="A155" s="66" t="s">
        <v>95</v>
      </c>
      <c r="B155" s="47" t="s">
        <v>236</v>
      </c>
      <c r="C155" s="2" t="s">
        <v>246</v>
      </c>
      <c r="D155" s="66" t="s">
        <v>32</v>
      </c>
      <c r="E155" s="16">
        <v>800</v>
      </c>
      <c r="F155" s="16">
        <f t="shared" si="6"/>
        <v>640</v>
      </c>
      <c r="G155" s="2" t="s">
        <v>246</v>
      </c>
    </row>
    <row r="156" spans="1:7" ht="18" customHeight="1" outlineLevel="1" x14ac:dyDescent="0.2">
      <c r="A156" s="66" t="s">
        <v>96</v>
      </c>
      <c r="B156" s="47" t="s">
        <v>237</v>
      </c>
      <c r="C156" s="2" t="s">
        <v>48</v>
      </c>
      <c r="D156" s="66" t="s">
        <v>32</v>
      </c>
      <c r="E156" s="16">
        <v>750</v>
      </c>
      <c r="F156" s="16">
        <f t="shared" si="6"/>
        <v>600</v>
      </c>
      <c r="G156" s="2" t="s">
        <v>48</v>
      </c>
    </row>
    <row r="157" spans="1:7" ht="31.5" outlineLevel="1" x14ac:dyDescent="0.2">
      <c r="A157" s="66" t="s">
        <v>97</v>
      </c>
      <c r="B157" s="47" t="s">
        <v>238</v>
      </c>
      <c r="C157" s="2" t="s">
        <v>244</v>
      </c>
      <c r="D157" s="66" t="s">
        <v>32</v>
      </c>
      <c r="E157" s="16">
        <v>700</v>
      </c>
      <c r="F157" s="16">
        <f t="shared" si="6"/>
        <v>560</v>
      </c>
      <c r="G157" s="2" t="s">
        <v>244</v>
      </c>
    </row>
    <row r="158" spans="1:7" ht="18" customHeight="1" outlineLevel="1" x14ac:dyDescent="0.2">
      <c r="A158" s="66" t="s">
        <v>98</v>
      </c>
      <c r="B158" s="47"/>
      <c r="C158" s="2" t="s">
        <v>106</v>
      </c>
      <c r="D158" s="66" t="s">
        <v>32</v>
      </c>
      <c r="E158" s="16">
        <v>2200</v>
      </c>
      <c r="F158" s="16">
        <f t="shared" si="6"/>
        <v>1760</v>
      </c>
      <c r="G158" s="2" t="s">
        <v>106</v>
      </c>
    </row>
    <row r="159" spans="1:7" ht="18" customHeight="1" outlineLevel="1" x14ac:dyDescent="0.2">
      <c r="A159" s="66" t="s">
        <v>99</v>
      </c>
      <c r="B159" s="47"/>
      <c r="C159" s="2" t="s">
        <v>107</v>
      </c>
      <c r="D159" s="66" t="s">
        <v>32</v>
      </c>
      <c r="E159" s="16">
        <v>2200</v>
      </c>
      <c r="F159" s="16">
        <f t="shared" si="6"/>
        <v>1760</v>
      </c>
      <c r="G159" s="2" t="s">
        <v>107</v>
      </c>
    </row>
    <row r="160" spans="1:7" ht="31.5" outlineLevel="1" x14ac:dyDescent="0.25">
      <c r="A160" s="66" t="s">
        <v>100</v>
      </c>
      <c r="B160" s="47" t="s">
        <v>345</v>
      </c>
      <c r="C160" s="41" t="s">
        <v>344</v>
      </c>
      <c r="D160" s="66" t="s">
        <v>32</v>
      </c>
      <c r="E160" s="16">
        <v>1200</v>
      </c>
      <c r="F160" s="16">
        <f t="shared" si="6"/>
        <v>960</v>
      </c>
      <c r="G160" s="2" t="s">
        <v>105</v>
      </c>
    </row>
    <row r="161" spans="1:7" ht="31.5" outlineLevel="1" x14ac:dyDescent="0.25">
      <c r="A161" s="66" t="s">
        <v>101</v>
      </c>
      <c r="B161" s="47" t="s">
        <v>345</v>
      </c>
      <c r="C161" s="41" t="s">
        <v>344</v>
      </c>
      <c r="D161" s="66" t="s">
        <v>32</v>
      </c>
      <c r="E161" s="16">
        <v>1200</v>
      </c>
      <c r="F161" s="16">
        <f t="shared" si="6"/>
        <v>960</v>
      </c>
      <c r="G161" s="2" t="s">
        <v>109</v>
      </c>
    </row>
    <row r="162" spans="1:7" ht="31.5" outlineLevel="1" x14ac:dyDescent="0.25">
      <c r="A162" s="66" t="s">
        <v>420</v>
      </c>
      <c r="B162" s="47" t="s">
        <v>346</v>
      </c>
      <c r="C162" s="41" t="s">
        <v>347</v>
      </c>
      <c r="D162" s="66" t="s">
        <v>32</v>
      </c>
      <c r="E162" s="16">
        <v>1200</v>
      </c>
      <c r="F162" s="16">
        <f t="shared" si="6"/>
        <v>960</v>
      </c>
      <c r="G162" s="2" t="s">
        <v>108</v>
      </c>
    </row>
    <row r="163" spans="1:7" ht="31.5" outlineLevel="1" x14ac:dyDescent="0.25">
      <c r="A163" s="66" t="s">
        <v>421</v>
      </c>
      <c r="B163" s="47" t="s">
        <v>346</v>
      </c>
      <c r="C163" s="41" t="s">
        <v>347</v>
      </c>
      <c r="D163" s="66" t="s">
        <v>32</v>
      </c>
      <c r="E163" s="16">
        <v>1200</v>
      </c>
      <c r="F163" s="16">
        <f t="shared" si="6"/>
        <v>960</v>
      </c>
      <c r="G163" s="2" t="s">
        <v>110</v>
      </c>
    </row>
    <row r="164" spans="1:7" ht="18" customHeight="1" outlineLevel="1" x14ac:dyDescent="0.2">
      <c r="A164" s="66" t="s">
        <v>422</v>
      </c>
      <c r="B164" s="47" t="s">
        <v>348</v>
      </c>
      <c r="C164" s="2" t="s">
        <v>349</v>
      </c>
      <c r="D164" s="66" t="s">
        <v>32</v>
      </c>
      <c r="E164" s="16">
        <v>1200</v>
      </c>
      <c r="F164" s="16">
        <f t="shared" si="6"/>
        <v>960</v>
      </c>
      <c r="G164" s="2" t="s">
        <v>350</v>
      </c>
    </row>
    <row r="165" spans="1:7" ht="23.25" outlineLevel="1" x14ac:dyDescent="0.2">
      <c r="A165" s="346" t="s">
        <v>81</v>
      </c>
      <c r="B165" s="347"/>
      <c r="C165" s="347"/>
      <c r="D165" s="347"/>
      <c r="E165" s="347"/>
      <c r="F165" s="347"/>
      <c r="G165" s="348"/>
    </row>
    <row r="166" spans="1:7" ht="32.25" customHeight="1" outlineLevel="1" x14ac:dyDescent="0.2">
      <c r="A166" s="66" t="s">
        <v>17</v>
      </c>
      <c r="B166" s="47" t="s">
        <v>247</v>
      </c>
      <c r="C166" s="2" t="s">
        <v>351</v>
      </c>
      <c r="D166" s="66" t="s">
        <v>12</v>
      </c>
      <c r="E166" s="16">
        <v>100</v>
      </c>
      <c r="F166" s="16">
        <f>ROUND(E166*0.8,-1)</f>
        <v>80</v>
      </c>
      <c r="G166" s="2" t="s">
        <v>49</v>
      </c>
    </row>
    <row r="167" spans="1:7" ht="35.25" customHeight="1" outlineLevel="1" x14ac:dyDescent="0.2">
      <c r="A167" s="66" t="s">
        <v>18</v>
      </c>
      <c r="B167" s="47" t="s">
        <v>248</v>
      </c>
      <c r="C167" s="2" t="s">
        <v>352</v>
      </c>
      <c r="D167" s="66" t="s">
        <v>12</v>
      </c>
      <c r="E167" s="16">
        <v>120</v>
      </c>
      <c r="F167" s="16">
        <f>ROUND(E167*0.8,-1)</f>
        <v>100</v>
      </c>
      <c r="G167" s="2" t="s">
        <v>50</v>
      </c>
    </row>
    <row r="168" spans="1:7" ht="29.25" customHeight="1" outlineLevel="1" x14ac:dyDescent="0.2">
      <c r="A168" s="66" t="s">
        <v>19</v>
      </c>
      <c r="B168" s="47" t="s">
        <v>249</v>
      </c>
      <c r="C168" s="2" t="s">
        <v>353</v>
      </c>
      <c r="D168" s="66" t="s">
        <v>12</v>
      </c>
      <c r="E168" s="16">
        <v>100</v>
      </c>
      <c r="F168" s="16">
        <f>ROUND(E168*0.8,-1)</f>
        <v>80</v>
      </c>
      <c r="G168" s="2" t="s">
        <v>51</v>
      </c>
    </row>
    <row r="169" spans="1:7" ht="29.25" customHeight="1" outlineLevel="1" x14ac:dyDescent="0.2">
      <c r="A169" s="66" t="s">
        <v>20</v>
      </c>
      <c r="B169" s="47" t="s">
        <v>248</v>
      </c>
      <c r="C169" s="44" t="s">
        <v>352</v>
      </c>
      <c r="D169" s="66" t="s">
        <v>12</v>
      </c>
      <c r="E169" s="16">
        <v>300</v>
      </c>
      <c r="F169" s="16">
        <f>ROUND(E169*0.8,-1)</f>
        <v>240</v>
      </c>
      <c r="G169" s="2" t="s">
        <v>52</v>
      </c>
    </row>
    <row r="170" spans="1:7" ht="47.25" outlineLevel="1" x14ac:dyDescent="0.2">
      <c r="A170" s="66" t="s">
        <v>21</v>
      </c>
      <c r="B170" s="47" t="s">
        <v>248</v>
      </c>
      <c r="C170" s="44" t="s">
        <v>352</v>
      </c>
      <c r="D170" s="66" t="s">
        <v>12</v>
      </c>
      <c r="E170" s="16">
        <v>350</v>
      </c>
      <c r="F170" s="16">
        <f>ROUND(E170*0.8,-1)</f>
        <v>280</v>
      </c>
      <c r="G170" s="2" t="s">
        <v>53</v>
      </c>
    </row>
    <row r="171" spans="1:7" ht="23.25" outlineLevel="1" x14ac:dyDescent="0.2">
      <c r="A171" s="371" t="s">
        <v>82</v>
      </c>
      <c r="B171" s="371"/>
      <c r="C171" s="371"/>
      <c r="D171" s="371"/>
      <c r="E171" s="371"/>
      <c r="F171" s="371"/>
      <c r="G171" s="371"/>
    </row>
    <row r="172" spans="1:7" outlineLevel="1" x14ac:dyDescent="0.2">
      <c r="A172" s="66">
        <v>1</v>
      </c>
      <c r="B172" s="47" t="s">
        <v>250</v>
      </c>
      <c r="C172" s="22" t="s">
        <v>54</v>
      </c>
      <c r="D172" s="66" t="s">
        <v>55</v>
      </c>
      <c r="E172" s="16">
        <v>120</v>
      </c>
      <c r="F172" s="16">
        <f t="shared" ref="F172:F209" si="7">ROUND(E172*0.8,-1)</f>
        <v>100</v>
      </c>
      <c r="G172" s="22" t="s">
        <v>54</v>
      </c>
    </row>
    <row r="173" spans="1:7" outlineLevel="1" x14ac:dyDescent="0.2">
      <c r="A173" s="66">
        <v>2</v>
      </c>
      <c r="B173" s="47" t="s">
        <v>208</v>
      </c>
      <c r="C173" s="2" t="s">
        <v>354</v>
      </c>
      <c r="D173" s="66" t="s">
        <v>56</v>
      </c>
      <c r="E173" s="16">
        <v>40</v>
      </c>
      <c r="F173" s="16">
        <f t="shared" si="7"/>
        <v>30</v>
      </c>
      <c r="G173" s="2" t="s">
        <v>355</v>
      </c>
    </row>
    <row r="174" spans="1:7" outlineLevel="1" x14ac:dyDescent="0.25">
      <c r="A174" s="66">
        <v>3</v>
      </c>
      <c r="B174" s="49" t="s">
        <v>356</v>
      </c>
      <c r="C174" s="39" t="s">
        <v>357</v>
      </c>
      <c r="D174" s="66" t="s">
        <v>56</v>
      </c>
      <c r="E174" s="16">
        <v>50</v>
      </c>
      <c r="F174" s="16">
        <f t="shared" si="7"/>
        <v>40</v>
      </c>
      <c r="G174" s="2" t="s">
        <v>57</v>
      </c>
    </row>
    <row r="175" spans="1:7" outlineLevel="1" x14ac:dyDescent="0.25">
      <c r="A175" s="66">
        <v>4</v>
      </c>
      <c r="B175" s="49" t="s">
        <v>356</v>
      </c>
      <c r="C175" s="39" t="s">
        <v>357</v>
      </c>
      <c r="D175" s="66" t="s">
        <v>59</v>
      </c>
      <c r="E175" s="16">
        <v>75</v>
      </c>
      <c r="F175" s="16">
        <f t="shared" si="7"/>
        <v>60</v>
      </c>
      <c r="G175" s="2" t="s">
        <v>58</v>
      </c>
    </row>
    <row r="176" spans="1:7" outlineLevel="1" x14ac:dyDescent="0.2">
      <c r="A176" s="374">
        <v>5</v>
      </c>
      <c r="B176" s="351" t="s">
        <v>413</v>
      </c>
      <c r="C176" s="352"/>
      <c r="D176" s="353" t="s">
        <v>36</v>
      </c>
      <c r="E176" s="356">
        <v>1000</v>
      </c>
      <c r="F176" s="356">
        <f t="shared" si="7"/>
        <v>800</v>
      </c>
      <c r="G176" s="359" t="s">
        <v>412</v>
      </c>
    </row>
    <row r="177" spans="1:19" ht="31.5" outlineLevel="1" x14ac:dyDescent="0.2">
      <c r="A177" s="375"/>
      <c r="B177" s="60" t="s">
        <v>403</v>
      </c>
      <c r="C177" s="2" t="s">
        <v>404</v>
      </c>
      <c r="D177" s="354"/>
      <c r="E177" s="357"/>
      <c r="F177" s="357">
        <f t="shared" si="7"/>
        <v>0</v>
      </c>
      <c r="G177" s="360"/>
    </row>
    <row r="178" spans="1:19" outlineLevel="1" x14ac:dyDescent="0.2">
      <c r="A178" s="375"/>
      <c r="B178" s="60" t="s">
        <v>408</v>
      </c>
      <c r="C178" s="63" t="s">
        <v>409</v>
      </c>
      <c r="D178" s="354"/>
      <c r="E178" s="357"/>
      <c r="F178" s="357">
        <f t="shared" si="7"/>
        <v>0</v>
      </c>
      <c r="G178" s="360"/>
    </row>
    <row r="179" spans="1:19" outlineLevel="1" x14ac:dyDescent="0.2">
      <c r="A179" s="375"/>
      <c r="B179" s="64" t="s">
        <v>410</v>
      </c>
      <c r="C179" s="65" t="s">
        <v>411</v>
      </c>
      <c r="D179" s="354"/>
      <c r="E179" s="357"/>
      <c r="F179" s="357">
        <f t="shared" si="7"/>
        <v>0</v>
      </c>
      <c r="G179" s="360"/>
    </row>
    <row r="180" spans="1:19" ht="31.5" outlineLevel="1" x14ac:dyDescent="0.2">
      <c r="A180" s="376"/>
      <c r="B180" s="5" t="s">
        <v>149</v>
      </c>
      <c r="C180" s="5" t="s">
        <v>148</v>
      </c>
      <c r="D180" s="355"/>
      <c r="E180" s="358"/>
      <c r="F180" s="358">
        <f t="shared" si="7"/>
        <v>0</v>
      </c>
      <c r="G180" s="361"/>
    </row>
    <row r="181" spans="1:19" ht="23.25" outlineLevel="1" x14ac:dyDescent="0.2">
      <c r="A181" s="371" t="s">
        <v>102</v>
      </c>
      <c r="B181" s="372"/>
      <c r="C181" s="372"/>
      <c r="D181" s="371"/>
      <c r="E181" s="371"/>
      <c r="F181" s="371"/>
      <c r="G181" s="371"/>
    </row>
    <row r="182" spans="1:19" outlineLevel="1" x14ac:dyDescent="0.2">
      <c r="A182" s="66">
        <v>1</v>
      </c>
      <c r="B182" s="47" t="s">
        <v>358</v>
      </c>
      <c r="C182" s="2" t="s">
        <v>359</v>
      </c>
      <c r="D182" s="66" t="s">
        <v>12</v>
      </c>
      <c r="E182" s="16">
        <v>400</v>
      </c>
      <c r="F182" s="16">
        <f t="shared" si="7"/>
        <v>320</v>
      </c>
      <c r="G182" s="2" t="s">
        <v>360</v>
      </c>
      <c r="S182" s="1">
        <v>400</v>
      </c>
    </row>
    <row r="183" spans="1:19" outlineLevel="1" x14ac:dyDescent="0.2">
      <c r="A183" s="66">
        <v>2</v>
      </c>
      <c r="B183" s="47" t="s">
        <v>251</v>
      </c>
      <c r="C183" s="2" t="s">
        <v>252</v>
      </c>
      <c r="D183" s="66" t="s">
        <v>12</v>
      </c>
      <c r="E183" s="16">
        <v>400</v>
      </c>
      <c r="F183" s="16">
        <f t="shared" si="7"/>
        <v>320</v>
      </c>
      <c r="G183" s="2" t="s">
        <v>252</v>
      </c>
    </row>
    <row r="184" spans="1:19" outlineLevel="1" x14ac:dyDescent="0.2">
      <c r="A184" s="66">
        <v>3</v>
      </c>
      <c r="B184" s="47" t="s">
        <v>253</v>
      </c>
      <c r="C184" s="2" t="s">
        <v>361</v>
      </c>
      <c r="D184" s="66" t="s">
        <v>12</v>
      </c>
      <c r="E184" s="16">
        <v>350</v>
      </c>
      <c r="F184" s="16">
        <f t="shared" si="7"/>
        <v>280</v>
      </c>
      <c r="G184" s="2" t="s">
        <v>362</v>
      </c>
    </row>
    <row r="185" spans="1:19" ht="31.5" customHeight="1" outlineLevel="1" x14ac:dyDescent="0.2">
      <c r="A185" s="62"/>
      <c r="B185" s="68"/>
      <c r="C185" s="373" t="s">
        <v>363</v>
      </c>
      <c r="D185" s="373"/>
      <c r="E185" s="373"/>
      <c r="F185" s="68"/>
      <c r="G185" s="61"/>
    </row>
    <row r="186" spans="1:19" ht="33" customHeight="1" outlineLevel="1" x14ac:dyDescent="0.25">
      <c r="A186" s="6">
        <v>4</v>
      </c>
      <c r="B186" s="50" t="s">
        <v>364</v>
      </c>
      <c r="C186" s="41" t="s">
        <v>365</v>
      </c>
      <c r="D186" s="6" t="s">
        <v>12</v>
      </c>
      <c r="E186" s="19">
        <v>350</v>
      </c>
      <c r="F186" s="19">
        <f t="shared" si="7"/>
        <v>280</v>
      </c>
      <c r="G186" s="5" t="s">
        <v>60</v>
      </c>
    </row>
    <row r="187" spans="1:19" ht="31.5" outlineLevel="1" x14ac:dyDescent="0.25">
      <c r="A187" s="6">
        <v>5</v>
      </c>
      <c r="B187" s="50" t="s">
        <v>366</v>
      </c>
      <c r="C187" s="41" t="s">
        <v>367</v>
      </c>
      <c r="D187" s="6" t="s">
        <v>12</v>
      </c>
      <c r="E187" s="19">
        <v>300</v>
      </c>
      <c r="F187" s="19">
        <f t="shared" si="7"/>
        <v>240</v>
      </c>
      <c r="G187" s="5" t="s">
        <v>61</v>
      </c>
    </row>
    <row r="188" spans="1:19" ht="31.5" outlineLevel="1" x14ac:dyDescent="0.25">
      <c r="A188" s="6">
        <v>6</v>
      </c>
      <c r="B188" s="51" t="s">
        <v>384</v>
      </c>
      <c r="C188" s="41" t="s">
        <v>385</v>
      </c>
      <c r="D188" s="6" t="s">
        <v>12</v>
      </c>
      <c r="E188" s="19">
        <v>300</v>
      </c>
      <c r="F188" s="19">
        <f t="shared" si="7"/>
        <v>240</v>
      </c>
      <c r="G188" s="5" t="s">
        <v>62</v>
      </c>
    </row>
    <row r="189" spans="1:19" ht="23.25" outlineLevel="1" x14ac:dyDescent="0.2">
      <c r="A189" s="346" t="s">
        <v>414</v>
      </c>
      <c r="B189" s="347"/>
      <c r="C189" s="347"/>
      <c r="D189" s="347"/>
      <c r="E189" s="347"/>
      <c r="F189" s="347"/>
      <c r="G189" s="348"/>
    </row>
    <row r="190" spans="1:19" ht="37.5" customHeight="1" outlineLevel="1" x14ac:dyDescent="0.2">
      <c r="A190" s="66">
        <v>1</v>
      </c>
      <c r="B190" s="47" t="s">
        <v>254</v>
      </c>
      <c r="C190" s="2" t="s">
        <v>368</v>
      </c>
      <c r="D190" s="66" t="s">
        <v>12</v>
      </c>
      <c r="E190" s="16">
        <v>550</v>
      </c>
      <c r="F190" s="16">
        <f t="shared" si="7"/>
        <v>440</v>
      </c>
      <c r="G190" s="2" t="s">
        <v>63</v>
      </c>
    </row>
    <row r="191" spans="1:19" ht="31.5" outlineLevel="1" x14ac:dyDescent="0.2">
      <c r="A191" s="66">
        <v>2</v>
      </c>
      <c r="B191" s="47" t="s">
        <v>370</v>
      </c>
      <c r="C191" s="59" t="s">
        <v>369</v>
      </c>
      <c r="D191" s="66" t="s">
        <v>15</v>
      </c>
      <c r="E191" s="16">
        <v>350</v>
      </c>
      <c r="F191" s="16">
        <f t="shared" si="7"/>
        <v>280</v>
      </c>
      <c r="G191" s="2" t="s">
        <v>64</v>
      </c>
    </row>
    <row r="192" spans="1:19" ht="21" customHeight="1" outlineLevel="1" x14ac:dyDescent="0.2">
      <c r="A192" s="66">
        <v>3</v>
      </c>
      <c r="B192" s="47" t="s">
        <v>255</v>
      </c>
      <c r="C192" s="2" t="s">
        <v>258</v>
      </c>
      <c r="D192" s="66" t="s">
        <v>15</v>
      </c>
      <c r="E192" s="16">
        <v>400</v>
      </c>
      <c r="F192" s="16">
        <f t="shared" si="7"/>
        <v>320</v>
      </c>
      <c r="G192" s="2" t="s">
        <v>258</v>
      </c>
    </row>
    <row r="193" spans="1:7" ht="31.5" outlineLevel="1" x14ac:dyDescent="0.2">
      <c r="A193" s="66">
        <v>4</v>
      </c>
      <c r="B193" s="47" t="s">
        <v>370</v>
      </c>
      <c r="C193" s="59" t="s">
        <v>369</v>
      </c>
      <c r="D193" s="66" t="s">
        <v>15</v>
      </c>
      <c r="E193" s="16">
        <v>1200</v>
      </c>
      <c r="F193" s="16">
        <f t="shared" si="7"/>
        <v>960</v>
      </c>
      <c r="G193" s="2" t="s">
        <v>65</v>
      </c>
    </row>
    <row r="194" spans="1:7" outlineLevel="1" x14ac:dyDescent="0.2">
      <c r="A194" s="66">
        <v>5</v>
      </c>
      <c r="B194" s="47" t="s">
        <v>256</v>
      </c>
      <c r="C194" s="2" t="s">
        <v>257</v>
      </c>
      <c r="D194" s="66" t="s">
        <v>12</v>
      </c>
      <c r="E194" s="16">
        <v>400</v>
      </c>
      <c r="F194" s="16">
        <f t="shared" si="7"/>
        <v>320</v>
      </c>
      <c r="G194" s="2" t="s">
        <v>257</v>
      </c>
    </row>
    <row r="195" spans="1:7" ht="23.25" outlineLevel="1" x14ac:dyDescent="0.2">
      <c r="A195" s="346" t="s">
        <v>415</v>
      </c>
      <c r="B195" s="347"/>
      <c r="C195" s="347"/>
      <c r="D195" s="347"/>
      <c r="E195" s="347"/>
      <c r="F195" s="347"/>
      <c r="G195" s="348"/>
    </row>
    <row r="196" spans="1:7" ht="18.75" customHeight="1" outlineLevel="1" x14ac:dyDescent="0.25">
      <c r="A196" s="66">
        <v>1</v>
      </c>
      <c r="B196" s="47" t="s">
        <v>259</v>
      </c>
      <c r="C196" s="39" t="s">
        <v>372</v>
      </c>
      <c r="D196" s="66" t="s">
        <v>12</v>
      </c>
      <c r="E196" s="16">
        <v>200</v>
      </c>
      <c r="F196" s="16">
        <v>180</v>
      </c>
      <c r="G196" s="2" t="s">
        <v>66</v>
      </c>
    </row>
    <row r="197" spans="1:7" ht="31.5" outlineLevel="1" x14ac:dyDescent="0.25">
      <c r="A197" s="66">
        <v>2</v>
      </c>
      <c r="B197" s="47" t="s">
        <v>259</v>
      </c>
      <c r="C197" s="39" t="s">
        <v>372</v>
      </c>
      <c r="D197" s="66" t="s">
        <v>12</v>
      </c>
      <c r="E197" s="16">
        <v>220</v>
      </c>
      <c r="F197" s="16">
        <f t="shared" si="7"/>
        <v>180</v>
      </c>
      <c r="G197" s="2" t="s">
        <v>67</v>
      </c>
    </row>
    <row r="198" spans="1:7" ht="23.25" outlineLevel="1" x14ac:dyDescent="0.2">
      <c r="A198" s="346" t="s">
        <v>114</v>
      </c>
      <c r="B198" s="347"/>
      <c r="C198" s="347"/>
      <c r="D198" s="347"/>
      <c r="E198" s="347"/>
      <c r="F198" s="347"/>
      <c r="G198" s="348"/>
    </row>
    <row r="199" spans="1:7" ht="31.5" outlineLevel="1" x14ac:dyDescent="0.2">
      <c r="A199" s="66">
        <v>1</v>
      </c>
      <c r="B199" s="50" t="s">
        <v>375</v>
      </c>
      <c r="C199" s="5" t="s">
        <v>376</v>
      </c>
      <c r="D199" s="66" t="s">
        <v>12</v>
      </c>
      <c r="E199" s="16">
        <v>450</v>
      </c>
      <c r="F199" s="16">
        <f t="shared" si="7"/>
        <v>360</v>
      </c>
      <c r="G199" s="2" t="s">
        <v>115</v>
      </c>
    </row>
    <row r="200" spans="1:7" ht="31.5" outlineLevel="1" x14ac:dyDescent="0.2">
      <c r="A200" s="66">
        <v>2</v>
      </c>
      <c r="B200" s="50" t="s">
        <v>375</v>
      </c>
      <c r="C200" s="5" t="s">
        <v>376</v>
      </c>
      <c r="D200" s="66" t="s">
        <v>12</v>
      </c>
      <c r="E200" s="16">
        <v>600</v>
      </c>
      <c r="F200" s="16">
        <f t="shared" si="7"/>
        <v>480</v>
      </c>
      <c r="G200" s="2" t="s">
        <v>116</v>
      </c>
    </row>
    <row r="201" spans="1:7" ht="23.25" outlineLevel="1" x14ac:dyDescent="0.2">
      <c r="A201" s="346" t="s">
        <v>416</v>
      </c>
      <c r="B201" s="347"/>
      <c r="C201" s="347"/>
      <c r="D201" s="347"/>
      <c r="E201" s="347"/>
      <c r="F201" s="347"/>
      <c r="G201" s="348"/>
    </row>
    <row r="202" spans="1:7" outlineLevel="1" x14ac:dyDescent="0.2">
      <c r="A202" s="66">
        <v>1</v>
      </c>
      <c r="B202" s="47" t="s">
        <v>260</v>
      </c>
      <c r="C202" s="2" t="s">
        <v>261</v>
      </c>
      <c r="D202" s="66" t="s">
        <v>12</v>
      </c>
      <c r="E202" s="16">
        <v>450</v>
      </c>
      <c r="F202" s="16">
        <f t="shared" si="7"/>
        <v>360</v>
      </c>
      <c r="G202" s="2" t="s">
        <v>261</v>
      </c>
    </row>
    <row r="203" spans="1:7" ht="31.5" outlineLevel="1" x14ac:dyDescent="0.25">
      <c r="A203" s="66">
        <v>2</v>
      </c>
      <c r="B203" s="44" t="s">
        <v>373</v>
      </c>
      <c r="C203" s="41" t="s">
        <v>374</v>
      </c>
      <c r="D203" s="66" t="s">
        <v>12</v>
      </c>
      <c r="E203" s="16">
        <v>600</v>
      </c>
      <c r="F203" s="16">
        <f t="shared" si="7"/>
        <v>480</v>
      </c>
      <c r="G203" s="2" t="s">
        <v>371</v>
      </c>
    </row>
    <row r="204" spans="1:7" ht="23.25" outlineLevel="1" x14ac:dyDescent="0.2">
      <c r="A204" s="346" t="s">
        <v>417</v>
      </c>
      <c r="B204" s="347"/>
      <c r="C204" s="347"/>
      <c r="D204" s="347"/>
      <c r="E204" s="347"/>
      <c r="F204" s="347"/>
      <c r="G204" s="348"/>
    </row>
    <row r="205" spans="1:7" ht="31.5" outlineLevel="1" x14ac:dyDescent="0.2">
      <c r="A205" s="66" t="s">
        <v>17</v>
      </c>
      <c r="B205" s="50" t="s">
        <v>377</v>
      </c>
      <c r="C205" s="5" t="s">
        <v>378</v>
      </c>
      <c r="D205" s="66" t="s">
        <v>55</v>
      </c>
      <c r="E205" s="16">
        <v>550</v>
      </c>
      <c r="F205" s="16">
        <f t="shared" si="7"/>
        <v>440</v>
      </c>
      <c r="G205" s="2" t="s">
        <v>379</v>
      </c>
    </row>
    <row r="206" spans="1:7" ht="31.5" outlineLevel="1" x14ac:dyDescent="0.2">
      <c r="A206" s="66" t="s">
        <v>18</v>
      </c>
      <c r="B206" s="50" t="s">
        <v>377</v>
      </c>
      <c r="C206" s="5" t="s">
        <v>378</v>
      </c>
      <c r="D206" s="66" t="s">
        <v>55</v>
      </c>
      <c r="E206" s="16">
        <v>550</v>
      </c>
      <c r="F206" s="16">
        <f t="shared" si="7"/>
        <v>440</v>
      </c>
      <c r="G206" s="2" t="s">
        <v>380</v>
      </c>
    </row>
    <row r="207" spans="1:7" ht="31.5" outlineLevel="1" x14ac:dyDescent="0.2">
      <c r="A207" s="66" t="s">
        <v>19</v>
      </c>
      <c r="B207" s="50" t="s">
        <v>377</v>
      </c>
      <c r="C207" s="5" t="s">
        <v>378</v>
      </c>
      <c r="D207" s="66" t="s">
        <v>55</v>
      </c>
      <c r="E207" s="16">
        <v>600</v>
      </c>
      <c r="F207" s="16">
        <f t="shared" si="7"/>
        <v>480</v>
      </c>
      <c r="G207" s="26" t="s">
        <v>381</v>
      </c>
    </row>
    <row r="208" spans="1:7" ht="31.5" outlineLevel="1" x14ac:dyDescent="0.2">
      <c r="A208" s="66" t="s">
        <v>20</v>
      </c>
      <c r="B208" s="50" t="s">
        <v>377</v>
      </c>
      <c r="C208" s="5" t="s">
        <v>378</v>
      </c>
      <c r="D208" s="66" t="s">
        <v>55</v>
      </c>
      <c r="E208" s="16">
        <v>700</v>
      </c>
      <c r="F208" s="16">
        <f t="shared" si="7"/>
        <v>560</v>
      </c>
      <c r="G208" s="2" t="s">
        <v>68</v>
      </c>
    </row>
    <row r="209" spans="1:8" ht="31.5" outlineLevel="1" x14ac:dyDescent="0.2">
      <c r="A209" s="66" t="s">
        <v>21</v>
      </c>
      <c r="B209" s="50" t="s">
        <v>377</v>
      </c>
      <c r="C209" s="5" t="s">
        <v>378</v>
      </c>
      <c r="D209" s="66" t="s">
        <v>55</v>
      </c>
      <c r="E209" s="16">
        <v>700</v>
      </c>
      <c r="F209" s="16">
        <f t="shared" si="7"/>
        <v>560</v>
      </c>
      <c r="G209" s="2" t="s">
        <v>69</v>
      </c>
    </row>
    <row r="210" spans="1:8" ht="43.5" customHeight="1" x14ac:dyDescent="0.2">
      <c r="A210" s="365" t="s">
        <v>70</v>
      </c>
      <c r="B210" s="366"/>
      <c r="C210" s="366"/>
      <c r="D210" s="366"/>
      <c r="E210" s="366"/>
      <c r="F210" s="366"/>
      <c r="G210" s="367"/>
      <c r="H210" s="11"/>
    </row>
    <row r="211" spans="1:8" x14ac:dyDescent="0.2">
      <c r="C211" s="32"/>
      <c r="D211" s="29"/>
      <c r="E211" s="33"/>
      <c r="F211" s="33"/>
      <c r="G211" s="32"/>
    </row>
    <row r="212" spans="1:8" ht="30" customHeight="1" x14ac:dyDescent="0.25">
      <c r="B212" s="74" t="s">
        <v>424</v>
      </c>
      <c r="E212" s="31"/>
      <c r="F212" s="74" t="s">
        <v>425</v>
      </c>
      <c r="G212" s="32"/>
    </row>
    <row r="213" spans="1:8" ht="30" customHeight="1" x14ac:dyDescent="0.25">
      <c r="B213" s="74" t="s">
        <v>426</v>
      </c>
      <c r="E213" s="35"/>
      <c r="F213" s="74" t="s">
        <v>427</v>
      </c>
      <c r="G213" s="32"/>
    </row>
    <row r="214" spans="1:8" ht="30" customHeight="1" x14ac:dyDescent="0.25">
      <c r="B214" s="74" t="s">
        <v>428</v>
      </c>
      <c r="E214" s="31"/>
      <c r="F214" s="74" t="s">
        <v>429</v>
      </c>
      <c r="G214" s="29"/>
    </row>
    <row r="215" spans="1:8" ht="30" customHeight="1" x14ac:dyDescent="0.25">
      <c r="B215" s="74" t="s">
        <v>430</v>
      </c>
      <c r="E215" s="36"/>
      <c r="F215" s="74" t="s">
        <v>431</v>
      </c>
      <c r="G215" s="32"/>
    </row>
    <row r="216" spans="1:8" ht="30" customHeight="1" x14ac:dyDescent="0.25">
      <c r="B216" s="74" t="s">
        <v>432</v>
      </c>
      <c r="E216" s="37"/>
      <c r="F216" s="74" t="s">
        <v>433</v>
      </c>
      <c r="G216" s="32"/>
    </row>
    <row r="217" spans="1:8" ht="30" customHeight="1" x14ac:dyDescent="0.25">
      <c r="B217" s="74" t="s">
        <v>434</v>
      </c>
      <c r="F217" s="74" t="s">
        <v>435</v>
      </c>
    </row>
    <row r="218" spans="1:8" ht="30" customHeight="1" x14ac:dyDescent="0.25">
      <c r="B218" s="75" t="s">
        <v>436</v>
      </c>
      <c r="F218" s="75" t="s">
        <v>437</v>
      </c>
    </row>
  </sheetData>
  <mergeCells count="58">
    <mergeCell ref="A204:G204"/>
    <mergeCell ref="A210:G210"/>
    <mergeCell ref="F104:F107"/>
    <mergeCell ref="F176:F180"/>
    <mergeCell ref="A181:G181"/>
    <mergeCell ref="C185:E185"/>
    <mergeCell ref="A189:G189"/>
    <mergeCell ref="A195:G195"/>
    <mergeCell ref="A198:G198"/>
    <mergeCell ref="A201:G201"/>
    <mergeCell ref="A131:G131"/>
    <mergeCell ref="A138:G138"/>
    <mergeCell ref="A145:G145"/>
    <mergeCell ref="A165:G165"/>
    <mergeCell ref="A171:G171"/>
    <mergeCell ref="A176:A180"/>
    <mergeCell ref="B176:C176"/>
    <mergeCell ref="D176:D180"/>
    <mergeCell ref="E176:E180"/>
    <mergeCell ref="G176:G180"/>
    <mergeCell ref="A122:A125"/>
    <mergeCell ref="B122:B125"/>
    <mergeCell ref="C122:E122"/>
    <mergeCell ref="A126:A129"/>
    <mergeCell ref="B126:B129"/>
    <mergeCell ref="A130:G130"/>
    <mergeCell ref="A121:G121"/>
    <mergeCell ref="A93:G93"/>
    <mergeCell ref="A94:A98"/>
    <mergeCell ref="B94:B98"/>
    <mergeCell ref="C94:E94"/>
    <mergeCell ref="A99:A103"/>
    <mergeCell ref="B99:B103"/>
    <mergeCell ref="A104:A107"/>
    <mergeCell ref="B104:C104"/>
    <mergeCell ref="D104:D107"/>
    <mergeCell ref="E104:E107"/>
    <mergeCell ref="G104:G107"/>
    <mergeCell ref="A79:G79"/>
    <mergeCell ref="A88:G88"/>
    <mergeCell ref="A89:A90"/>
    <mergeCell ref="B89:B92"/>
    <mergeCell ref="C89:C92"/>
    <mergeCell ref="A91:A92"/>
    <mergeCell ref="B72:B73"/>
    <mergeCell ref="C72:C73"/>
    <mergeCell ref="G72:G73"/>
    <mergeCell ref="A8:G8"/>
    <mergeCell ref="A9:G9"/>
    <mergeCell ref="A10:G10"/>
    <mergeCell ref="A11:G11"/>
    <mergeCell ref="A12:G12"/>
    <mergeCell ref="A15:G15"/>
    <mergeCell ref="A31:G31"/>
    <mergeCell ref="A47:G47"/>
    <mergeCell ref="A50:A52"/>
    <mergeCell ref="B50:B52"/>
    <mergeCell ref="G50:G52"/>
  </mergeCells>
  <printOptions horizontalCentered="1"/>
  <pageMargins left="0" right="0" top="0.39370078740157483" bottom="0.39370078740157483" header="0" footer="0"/>
  <pageSetup paperSize="9" scale="78" fitToHeight="18" orientation="landscape" r:id="rId1"/>
  <headerFooter alignWithMargins="0"/>
  <rowBreaks count="3" manualBreakCount="3">
    <brk id="30" max="6" man="1"/>
    <brk id="87" max="6" man="1"/>
    <brk id="1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доп мед услуги (2)</vt:lpstr>
      <vt:lpstr>Лист1</vt:lpstr>
      <vt:lpstr>доп мед услуги</vt:lpstr>
      <vt:lpstr>доп мед услуги сотрудники</vt:lpstr>
      <vt:lpstr>'доп мед услуги'!Область_печати</vt:lpstr>
      <vt:lpstr>'доп мед услуги (2)'!Область_печати</vt:lpstr>
      <vt:lpstr>'доп мед услуги сотрудники'!Область_печати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Александров Глеб Станиславоич</cp:lastModifiedBy>
  <cp:lastPrinted>2021-07-01T03:52:31Z</cp:lastPrinted>
  <dcterms:created xsi:type="dcterms:W3CDTF">2016-06-23T08:50:35Z</dcterms:created>
  <dcterms:modified xsi:type="dcterms:W3CDTF">2021-07-01T03:53:16Z</dcterms:modified>
</cp:coreProperties>
</file>